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trlProps/ctrlProp1.xml" ContentType="application/vnd.ms-excel.controlproperties+xml"/>
  <Override PartName="/xl/drawings/drawing16.xml" ContentType="application/vnd.openxmlformats-officedocument.drawing+xml"/>
  <Override PartName="/xl/ctrlProps/ctrlProp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4.xml" ContentType="application/vnd.openxmlformats-officedocument.spreadsheetml.comments+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5" yWindow="900" windowWidth="12165" windowHeight="7215" tabRatio="925" activeTab="27"/>
  </bookViews>
  <sheets>
    <sheet name="List - Nha" sheetId="13" r:id="rId1"/>
    <sheet name="1.DAO MONG" sheetId="37" state="hidden" r:id="rId2"/>
    <sheet name="PYC" sheetId="8" state="hidden" r:id="rId3"/>
    <sheet name="2.VLtruoc (2)" sheetId="27" state="hidden" r:id="rId4"/>
    <sheet name="Danh muc BB" sheetId="29" state="hidden" r:id="rId5"/>
    <sheet name="TIEU CHUAN" sheetId="3" state="hidden" r:id="rId6"/>
    <sheet name="TC" sheetId="7" state="hidden" r:id="rId7"/>
    <sheet name="TC1" sheetId="4" state="hidden" r:id="rId8"/>
    <sheet name="TC2" sheetId="5" state="hidden" r:id="rId9"/>
    <sheet name="TC3" sheetId="6" state="hidden" r:id="rId10"/>
    <sheet name="tc4" sheetId="33" state="hidden" r:id="rId11"/>
    <sheet name="PhieuBT" sheetId="14" state="hidden" r:id="rId12"/>
    <sheet name="PhieuVUA" sheetId="35" state="hidden" r:id="rId13"/>
    <sheet name="DATA" sheetId="74" r:id="rId14"/>
    <sheet name="2.VL" sheetId="50" state="hidden" r:id="rId15"/>
    <sheet name="3.CT" sheetId="51" state="hidden" r:id="rId16"/>
    <sheet name="4.VK" sheetId="52" state="hidden" r:id="rId17"/>
    <sheet name="5.CBBT" sheetId="53" state="hidden" r:id="rId18"/>
    <sheet name="6.GSBT" sheetId="54" state="hidden" r:id="rId19"/>
    <sheet name="7.LMBT" sheetId="55" state="hidden" r:id="rId20"/>
    <sheet name="7.1.TVK" sheetId="69" state="hidden" r:id="rId21"/>
    <sheet name="8.NTBT" sheetId="56" state="hidden" r:id="rId22"/>
    <sheet name="8.CGĐ" sheetId="67" state="hidden" r:id="rId23"/>
    <sheet name="9.VL XAY" sheetId="57" state="hidden" r:id="rId24"/>
    <sheet name="9.1.LMVX" sheetId="58" state="hidden" r:id="rId25"/>
    <sheet name="9.2.XAY" sheetId="59" state="hidden" r:id="rId26"/>
    <sheet name="9.3. NTCV.KHAC" sheetId="60" state="hidden" r:id="rId27"/>
    <sheet name="BBNT" sheetId="64" r:id="rId28"/>
    <sheet name="BBNT-XAY" sheetId="66" r:id="rId29"/>
    <sheet name="NTCV" sheetId="70" r:id="rId30"/>
    <sheet name="NTHT" sheetId="71" r:id="rId31"/>
    <sheet name="CPBT" sheetId="61" state="hidden" r:id="rId32"/>
    <sheet name="DANH MUC BBNT" sheetId="49" r:id="rId33"/>
  </sheets>
  <externalReferences>
    <externalReference r:id="rId34"/>
    <externalReference r:id="rId35"/>
  </externalReferences>
  <definedNames>
    <definedName name="_xlnm._FilterDatabase" localSheetId="0" hidden="1">'List - Nha'!$A$1:$R$1526</definedName>
    <definedName name="_xlnm._FilterDatabase" localSheetId="29" hidden="1">NTCV!$K$1:$K$136</definedName>
    <definedName name="BANGBT">DATA!$B$3:$N$17</definedName>
    <definedName name="BANGXAY">DATA!$B$20:$N$29</definedName>
    <definedName name="CBBT">'5.CBBT'!$A$2:$AC$1027</definedName>
    <definedName name="CDT">'List - Nha'!$Q:$Q</definedName>
    <definedName name="CGĐ">'8.CGĐ'!$A$2:$R$21</definedName>
    <definedName name="CPBT">CPBT!$B$2:$K$31</definedName>
    <definedName name="CVCDT">DATA!$C$40</definedName>
    <definedName name="CVDVTC">DATA!$G$40</definedName>
    <definedName name="CVGS">DATA!$E$40</definedName>
    <definedName name="CVTNV">DATA!$I$40</definedName>
    <definedName name="DIEMTDC">'List - Nha'!$F$3:$F$1480</definedName>
    <definedName name="DONVI">'9.1.LMVX'!$AC:$AC</definedName>
    <definedName name="DVTC">'List - Nha'!$R:$R</definedName>
    <definedName name="GSBT">'6.GSBT'!$A$2:$AD$705</definedName>
    <definedName name="LIST_NHA">'List - Nha'!$A$1:$R$1034</definedName>
    <definedName name="LMBT" localSheetId="20">'7.1.TVK'!$A$2:$R$1543</definedName>
    <definedName name="LMBT">'7.LMBT'!$A$2:$AC$1543</definedName>
    <definedName name="LMBT2PTX">'[1]7.LMBT'!$A$2:$AC$141</definedName>
    <definedName name="LMVXM2PPC">'9.1.LMVX'!$A$2:$AA$108</definedName>
    <definedName name="lmvxm2ptx">#REF!</definedName>
    <definedName name="LMVXM60TX">'[2]9.1.LMVX'!$A$2:$AA$43</definedName>
    <definedName name="LMXAY">'9.1.LMVX'!$A$2:$AA$924</definedName>
    <definedName name="LOAIVLXAY">'9.1.LMVX'!$A$2:$AB$258</definedName>
    <definedName name="MH_CBBT" localSheetId="30">BBNT!#REF!</definedName>
    <definedName name="MH_CBBT">BBNT!#REF!</definedName>
    <definedName name="MH_GSBT" localSheetId="30">BBNT!#REF!</definedName>
    <definedName name="MH_GSBT">BBNT!#REF!</definedName>
    <definedName name="MH_LMBT" localSheetId="30">BBNT!#REF!</definedName>
    <definedName name="MH_LMBT">BBNT!#REF!</definedName>
    <definedName name="MH_NTBT" localSheetId="30">BBNT!#REF!</definedName>
    <definedName name="MH_NTBT">BBNT!#REF!</definedName>
    <definedName name="MH_NTCT" localSheetId="30">BBNT!#REF!</definedName>
    <definedName name="MH_NTCT">BBNT!#REF!</definedName>
    <definedName name="MH_NTVK" localSheetId="30">BBNT!#REF!</definedName>
    <definedName name="MH_NTVK">BBNT!#REF!</definedName>
    <definedName name="MH_VLDV" localSheetId="30">BBNT!#REF!</definedName>
    <definedName name="MH_VLDV">BBNT!#REF!</definedName>
    <definedName name="MHCBBT">BBNT!$E$2</definedName>
    <definedName name="MHCT">BBNT!$C$2</definedName>
    <definedName name="MHGSBT">BBNT!$F$2</definedName>
    <definedName name="MHLMBT">BBNT!$G$2</definedName>
    <definedName name="MHNTBT">BBNT!$I$2</definedName>
    <definedName name="MHTVK">BBNT!$H$2</definedName>
    <definedName name="MHVK">BBNT!$D$2</definedName>
    <definedName name="MHVL">BBNT!$B$2</definedName>
    <definedName name="NTBT" localSheetId="22">'8.CGĐ'!$A$2:$R$926</definedName>
    <definedName name="NTBT">'8.NTBT'!$A$2:$R$926</definedName>
    <definedName name="NTCT">'3.CT'!$A$2:$R$433</definedName>
    <definedName name="NTCVKHAC">'9.3. NTCV.KHAC'!$A$2:$R$429</definedName>
    <definedName name="NTVK">'4.VK'!$A$2:$R$151</definedName>
    <definedName name="NTXAY">'9.2.XAY'!$A$2:$R$615</definedName>
    <definedName name="NVH100M2" localSheetId="1">'1.DAO MONG'!$C$1:$P$24</definedName>
    <definedName name="NVH100M2" localSheetId="14">'2.VL'!$C$1:$P$32</definedName>
    <definedName name="NVH100M2" localSheetId="15">'3.CT'!$C$1:$P$24</definedName>
    <definedName name="NVH100M2" localSheetId="16">'4.VK'!$C$1:$P$24</definedName>
    <definedName name="NVH100M2" localSheetId="17">'5.CBBT'!$C$1:$P$24</definedName>
    <definedName name="NVH100M2" localSheetId="18">'6.GSBT'!$C$1:$P$24</definedName>
    <definedName name="NVH100M2" localSheetId="20">'7.1.TVK'!$C$1:$P$24</definedName>
    <definedName name="NVH100M2" localSheetId="19">'7.LMBT'!$C$1:$P$24</definedName>
    <definedName name="NVH100M2" localSheetId="22">'8.CGĐ'!$C$1:$P$24</definedName>
    <definedName name="NVH100M2" localSheetId="21">'8.NTBT'!$C$1:$P$24</definedName>
    <definedName name="NVH100M2" localSheetId="24">'9.1.LMVX'!$C$1:$P$24</definedName>
    <definedName name="NVH100M2" localSheetId="25">'9.2.XAY'!$C$1:$P$24</definedName>
    <definedName name="NVH100M2" localSheetId="26">'9.3. NTCV.KHAC'!$C$1:$P$24</definedName>
    <definedName name="NVH100M2" localSheetId="23">'9.VL XAY'!$C$1:$P$24</definedName>
    <definedName name="NVH100M2">'List - Nha'!$C$1:$P$50</definedName>
    <definedName name="NVH100PC" localSheetId="1">'1.DAO MONG'!$C$1:$P$1574</definedName>
    <definedName name="NVH100PC" localSheetId="14">'2.VL'!$C$1:$P$1582</definedName>
    <definedName name="NVH100PC" localSheetId="15">'3.CT'!$C$1:$P$1574</definedName>
    <definedName name="NVH100PC" localSheetId="16">'4.VK'!$C$1:$P$1574</definedName>
    <definedName name="NVH100PC" localSheetId="17">'5.CBBT'!$C$1:$P$1574</definedName>
    <definedName name="NVH100PC" localSheetId="18">'6.GSBT'!$C$1:$P$1574</definedName>
    <definedName name="NVH100PC" localSheetId="20">'7.1.TVK'!$C$1:$P$1574</definedName>
    <definedName name="NVH100PC" localSheetId="19">'7.LMBT'!$C$1:$P$1574</definedName>
    <definedName name="NVH100PC" localSheetId="22">'8.CGĐ'!$C$1:$P$1574</definedName>
    <definedName name="NVH100PC" localSheetId="21">'8.NTBT'!$C$1:$P$1574</definedName>
    <definedName name="NVH100PC" localSheetId="24">'9.1.LMVX'!$C$1:$P$1574</definedName>
    <definedName name="NVH100PC" localSheetId="25">'9.2.XAY'!$C$1:$P$1574</definedName>
    <definedName name="NVH100PC" localSheetId="26">'9.3. NTCV.KHAC'!$C$1:$P$1574</definedName>
    <definedName name="NVH100PC" localSheetId="23">'9.VL XAY'!$C$1:$P$1574</definedName>
    <definedName name="NVH100PC">'List - Nha'!$C$1:$P$1609</definedName>
    <definedName name="_xlnm.Print_Area" localSheetId="27">BBNT!$A$3:$I$893</definedName>
    <definedName name="_xlnm.Print_Area" localSheetId="28">'BBNT-XAY'!$A$4:$I$343</definedName>
    <definedName name="_xlnm.Print_Area" localSheetId="32">'DANH MUC BBNT'!$A$1:$X$21</definedName>
    <definedName name="_xlnm.Print_Area" localSheetId="29">NTCV!$A$2:$I$121</definedName>
    <definedName name="_xlnm.Print_Area" localSheetId="30">NTHT!$A$2:$I$112</definedName>
    <definedName name="_xlnm.Print_Titles" localSheetId="32">'DANH MUC BBNT'!$13:$13</definedName>
    <definedName name="TPCDT">DATA!$C$33</definedName>
    <definedName name="TPDVTC">DATA!$G$33</definedName>
    <definedName name="TPDVTN">DATA!$I$33</definedName>
    <definedName name="TPTVGS">DATA!$E$33</definedName>
    <definedName name="tuan_bv">'List - Nha'!$T$1522</definedName>
    <definedName name="TUANBV">'List - Nha'!$C$1:$R$1542</definedName>
    <definedName name="TVGS">'List - Nha'!#REF!</definedName>
    <definedName name="TVK">'7.1.TVK'!$A$2:$R$128</definedName>
    <definedName name="VITRI">'List - Nha'!$E$3:$E$1480</definedName>
    <definedName name="VLDV">'2.VL'!$A$2:$AN$344</definedName>
    <definedName name="VLXAY">'9.VL XAY'!$A$2:$CC$841</definedName>
  </definedNames>
  <calcPr calcId="144525"/>
</workbook>
</file>

<file path=xl/calcChain.xml><?xml version="1.0" encoding="utf-8"?>
<calcChain xmlns="http://schemas.openxmlformats.org/spreadsheetml/2006/main">
  <c r="I8" i="74" l="1"/>
  <c r="I7" i="74"/>
  <c r="I6" i="74"/>
  <c r="I5" i="74"/>
  <c r="I4" i="74"/>
  <c r="A23" i="13" l="1"/>
  <c r="I4" i="13" l="1"/>
  <c r="J4" i="13"/>
  <c r="I5" i="13"/>
  <c r="J5" i="13"/>
  <c r="I6" i="13"/>
  <c r="J6" i="13"/>
  <c r="I7" i="13"/>
  <c r="J7" i="13"/>
  <c r="I8" i="13"/>
  <c r="J8" i="13"/>
  <c r="I9" i="13"/>
  <c r="J9" i="13"/>
  <c r="I10" i="13"/>
  <c r="J10" i="13"/>
  <c r="I11" i="13"/>
  <c r="J11" i="13"/>
  <c r="I12" i="13"/>
  <c r="J12" i="13"/>
  <c r="I13" i="13"/>
  <c r="J13" i="13"/>
  <c r="I14" i="13"/>
  <c r="J14" i="13"/>
  <c r="I15" i="13"/>
  <c r="J15" i="13"/>
  <c r="I16" i="13"/>
  <c r="J16" i="13"/>
  <c r="I17" i="13"/>
  <c r="J17" i="13"/>
  <c r="I18" i="13"/>
  <c r="J18" i="13"/>
  <c r="I19" i="13"/>
  <c r="J19" i="13"/>
  <c r="I20" i="13"/>
  <c r="J20" i="13"/>
  <c r="I21" i="13"/>
  <c r="J21" i="13"/>
  <c r="I22" i="13"/>
  <c r="J22" i="13"/>
  <c r="J3" i="13"/>
  <c r="I3" i="13"/>
  <c r="P22" i="13"/>
  <c r="O22" i="13" s="1"/>
  <c r="P10" i="13"/>
  <c r="P21" i="13"/>
  <c r="P20" i="13"/>
  <c r="P19" i="13"/>
  <c r="P18" i="13"/>
  <c r="P17" i="13"/>
  <c r="P16" i="13"/>
  <c r="P15" i="13"/>
  <c r="P12" i="13"/>
  <c r="P11" i="13"/>
  <c r="O4" i="13"/>
  <c r="O5" i="13"/>
  <c r="O6" i="13"/>
  <c r="O7" i="13"/>
  <c r="O8" i="13"/>
  <c r="O9" i="13"/>
  <c r="O10" i="13"/>
  <c r="O11" i="13"/>
  <c r="O12" i="13"/>
  <c r="O13" i="13"/>
  <c r="O14" i="13"/>
  <c r="O15" i="13"/>
  <c r="O16" i="13"/>
  <c r="O17" i="13"/>
  <c r="O18" i="13"/>
  <c r="O19" i="13"/>
  <c r="O20" i="13"/>
  <c r="O21" i="13"/>
  <c r="O3" i="13"/>
  <c r="N4" i="13"/>
  <c r="N5" i="13"/>
  <c r="N6" i="13"/>
  <c r="N7" i="13"/>
  <c r="N8" i="13"/>
  <c r="N9" i="13"/>
  <c r="N10" i="13"/>
  <c r="N11" i="13"/>
  <c r="N12" i="13"/>
  <c r="N13" i="13"/>
  <c r="N14" i="13"/>
  <c r="N15" i="13"/>
  <c r="N16" i="13"/>
  <c r="N17" i="13"/>
  <c r="N18" i="13"/>
  <c r="N19" i="13"/>
  <c r="N20" i="13"/>
  <c r="N21" i="13"/>
  <c r="N3" i="13"/>
  <c r="P9" i="13"/>
  <c r="N22" i="13" l="1"/>
  <c r="G98" i="64"/>
  <c r="G222" i="64"/>
  <c r="G347" i="64"/>
  <c r="G468" i="64"/>
  <c r="G601" i="64"/>
  <c r="E781" i="64"/>
  <c r="D8" i="59" l="1"/>
  <c r="E8" i="59"/>
  <c r="F8" i="59"/>
  <c r="G8" i="59"/>
  <c r="H8" i="59"/>
  <c r="I8" i="59"/>
  <c r="J8" i="59"/>
  <c r="K8" i="59"/>
  <c r="L8" i="59"/>
  <c r="M8" i="59"/>
  <c r="N8" i="59"/>
  <c r="O8" i="59"/>
  <c r="P8" i="59"/>
  <c r="Q8" i="59"/>
  <c r="R8" i="59"/>
  <c r="D9" i="59"/>
  <c r="E9" i="59"/>
  <c r="F9" i="59"/>
  <c r="G9" i="59"/>
  <c r="H9" i="59"/>
  <c r="I9" i="59"/>
  <c r="J9" i="59"/>
  <c r="K9" i="59"/>
  <c r="L9" i="59"/>
  <c r="M9" i="59"/>
  <c r="N9" i="59"/>
  <c r="O9" i="59"/>
  <c r="P9" i="59"/>
  <c r="Q9" i="59"/>
  <c r="R9" i="59"/>
  <c r="D10" i="59"/>
  <c r="E10" i="59"/>
  <c r="F10" i="59"/>
  <c r="G10" i="59"/>
  <c r="H10" i="59"/>
  <c r="I10" i="59"/>
  <c r="J10" i="59"/>
  <c r="K10" i="59"/>
  <c r="L10" i="59"/>
  <c r="M10" i="59"/>
  <c r="N10" i="59"/>
  <c r="O10" i="59"/>
  <c r="P10" i="59"/>
  <c r="Q10" i="59"/>
  <c r="R10" i="59"/>
  <c r="D11" i="59"/>
  <c r="E11" i="59"/>
  <c r="F11" i="59"/>
  <c r="G11" i="59"/>
  <c r="H11" i="59"/>
  <c r="I11" i="59"/>
  <c r="J11" i="59"/>
  <c r="K11" i="59"/>
  <c r="L11" i="59"/>
  <c r="M11" i="59"/>
  <c r="N11" i="59"/>
  <c r="O11" i="59"/>
  <c r="P11" i="59"/>
  <c r="Q11" i="59"/>
  <c r="R11" i="59"/>
  <c r="D11" i="58"/>
  <c r="E11" i="58"/>
  <c r="F11" i="58"/>
  <c r="G11" i="58"/>
  <c r="H11" i="58"/>
  <c r="I11" i="58"/>
  <c r="J11" i="58"/>
  <c r="K11" i="58"/>
  <c r="L11" i="58"/>
  <c r="M11" i="58"/>
  <c r="N11" i="58"/>
  <c r="O11" i="58"/>
  <c r="P11" i="58"/>
  <c r="Q11" i="58"/>
  <c r="R11" i="58"/>
  <c r="W11" i="58"/>
  <c r="X11" i="58"/>
  <c r="Y11" i="58"/>
  <c r="AB11" i="58"/>
  <c r="AC11" i="58" s="1"/>
  <c r="B11" i="57"/>
  <c r="Z11" i="57" s="1"/>
  <c r="D11" i="57"/>
  <c r="E11" i="57"/>
  <c r="F11" i="57"/>
  <c r="G11" i="57"/>
  <c r="H11" i="57"/>
  <c r="I11" i="57"/>
  <c r="J11" i="57"/>
  <c r="K11" i="57"/>
  <c r="L11" i="57"/>
  <c r="M11" i="57"/>
  <c r="N11" i="57"/>
  <c r="O11" i="57"/>
  <c r="P11" i="57"/>
  <c r="Q11" i="57"/>
  <c r="R11" i="57"/>
  <c r="U11" i="57"/>
  <c r="W11" i="57"/>
  <c r="Y11" i="57"/>
  <c r="AA11" i="57"/>
  <c r="AA11" i="58" l="1"/>
  <c r="AE11" i="57"/>
  <c r="X11" i="57"/>
  <c r="AC11" i="57" s="1"/>
  <c r="A14" i="13"/>
  <c r="A11" i="13"/>
  <c r="A4" i="13"/>
  <c r="AD11" i="57" l="1"/>
  <c r="L3" i="74"/>
  <c r="M3" i="74" s="1"/>
  <c r="K4" i="74" s="1"/>
  <c r="L4" i="74" s="1"/>
  <c r="M4" i="74" s="1"/>
  <c r="K5" i="74" s="1"/>
  <c r="L5" i="74" s="1"/>
  <c r="M5" i="74" s="1"/>
  <c r="K6" i="74" s="1"/>
  <c r="L6" i="74" s="1"/>
  <c r="M6" i="74" s="1"/>
  <c r="K7" i="74" s="1"/>
  <c r="L7" i="74" s="1"/>
  <c r="M7" i="74" s="1"/>
  <c r="K8" i="74" s="1"/>
  <c r="L8" i="74" s="1"/>
  <c r="M8" i="74" s="1"/>
  <c r="P4" i="13"/>
  <c r="P5" i="13" s="1"/>
  <c r="P6" i="13" s="1"/>
  <c r="P7" i="13" s="1"/>
  <c r="P8" i="13" s="1"/>
  <c r="A5" i="13"/>
  <c r="A6" i="13" s="1"/>
  <c r="A7" i="13" s="1"/>
  <c r="A8" i="13" s="1"/>
  <c r="A9" i="13" s="1"/>
  <c r="A10" i="13" s="1"/>
  <c r="A12" i="13" s="1"/>
  <c r="A13" i="13" s="1"/>
  <c r="A15" i="13" s="1"/>
  <c r="A16" i="13" s="1"/>
  <c r="A17" i="13" s="1"/>
  <c r="A18" i="13" s="1"/>
  <c r="A19" i="13" s="1"/>
  <c r="A20" i="13" s="1"/>
  <c r="A21" i="13" s="1"/>
  <c r="A24" i="13" s="1"/>
  <c r="A25" i="13" s="1"/>
  <c r="A26" i="13" l="1"/>
  <c r="A27" i="13" s="1"/>
  <c r="A28" i="13" s="1"/>
  <c r="A29" i="13" s="1"/>
  <c r="A30" i="13" s="1"/>
  <c r="A31" i="13" s="1"/>
  <c r="A32" i="13" s="1"/>
  <c r="J48" i="71"/>
  <c r="J7" i="71"/>
  <c r="J7" i="70"/>
  <c r="J48" i="70"/>
  <c r="A33" i="13" l="1"/>
  <c r="A34" i="13" s="1"/>
  <c r="A35" i="13" s="1"/>
  <c r="G21" i="74"/>
  <c r="H21" i="74" s="1"/>
  <c r="I21" i="74" s="1"/>
  <c r="G22" i="74" s="1"/>
  <c r="H22" i="74" s="1"/>
  <c r="I22" i="74" s="1"/>
  <c r="G23" i="74" s="1"/>
  <c r="H23" i="74" s="1"/>
  <c r="I23" i="74" s="1"/>
  <c r="A36" i="13" l="1"/>
  <c r="A37" i="13" s="1"/>
  <c r="A38" i="13" s="1"/>
  <c r="A39" i="13" s="1"/>
  <c r="A40" i="13" s="1"/>
  <c r="A41" i="13" s="1"/>
  <c r="A42" i="13" s="1"/>
  <c r="A43" i="13" s="1"/>
  <c r="P29" i="74"/>
  <c r="A44" i="13" l="1"/>
  <c r="A45" i="13" s="1"/>
  <c r="A46" i="13" s="1"/>
  <c r="E110" i="71"/>
  <c r="A110" i="71"/>
  <c r="F57" i="71"/>
  <c r="B57" i="71"/>
  <c r="A118" i="70"/>
  <c r="E118" i="70"/>
  <c r="B63" i="70"/>
  <c r="F57" i="70"/>
  <c r="B57" i="70"/>
  <c r="F181" i="66"/>
  <c r="B181" i="66"/>
  <c r="G98" i="66"/>
  <c r="E98" i="66"/>
  <c r="A98" i="66"/>
  <c r="H216" i="66"/>
  <c r="F216" i="66"/>
  <c r="D216" i="66"/>
  <c r="A216" i="66"/>
  <c r="G331" i="66"/>
  <c r="A331" i="66"/>
  <c r="E331" i="66"/>
  <c r="B299" i="66"/>
  <c r="B296" i="66"/>
  <c r="B172" i="66"/>
  <c r="F299" i="66"/>
  <c r="F296" i="66"/>
  <c r="F172" i="66"/>
  <c r="B64" i="66"/>
  <c r="B61" i="66"/>
  <c r="F61" i="66"/>
  <c r="F58" i="66"/>
  <c r="B58" i="66"/>
  <c r="F627" i="64"/>
  <c r="B627" i="64"/>
  <c r="F838" i="64"/>
  <c r="F739" i="64"/>
  <c r="F618" i="64"/>
  <c r="F538" i="64"/>
  <c r="F416" i="64"/>
  <c r="F297" i="64"/>
  <c r="F172" i="64"/>
  <c r="F57" i="64"/>
  <c r="G888" i="64"/>
  <c r="E888" i="64"/>
  <c r="A888" i="64"/>
  <c r="B844" i="64"/>
  <c r="B838" i="64"/>
  <c r="G781" i="64"/>
  <c r="A781" i="64"/>
  <c r="B745" i="64"/>
  <c r="B739" i="64"/>
  <c r="H661" i="64"/>
  <c r="F661" i="64"/>
  <c r="D661" i="64"/>
  <c r="A661" i="64"/>
  <c r="B624" i="64"/>
  <c r="B618" i="64"/>
  <c r="E601" i="64"/>
  <c r="A601" i="64"/>
  <c r="B544" i="64"/>
  <c r="B538" i="64"/>
  <c r="E468" i="64"/>
  <c r="A468" i="64"/>
  <c r="B422" i="64"/>
  <c r="B416" i="64"/>
  <c r="E347" i="64"/>
  <c r="A347" i="64"/>
  <c r="B303" i="64"/>
  <c r="B297" i="64"/>
  <c r="E222" i="64"/>
  <c r="A222" i="64"/>
  <c r="B178" i="64"/>
  <c r="B172" i="64"/>
  <c r="E98" i="64"/>
  <c r="A98" i="64"/>
  <c r="B63" i="64"/>
  <c r="B57" i="64"/>
  <c r="A47" i="13" l="1"/>
  <c r="A48" i="13" s="1"/>
  <c r="A49" i="13" s="1"/>
  <c r="A50" i="13" s="1"/>
  <c r="A51" i="13" s="1"/>
  <c r="A52" i="13" s="1"/>
  <c r="A53" i="13" s="1"/>
  <c r="A54" i="13" s="1"/>
  <c r="A55" i="13" l="1"/>
  <c r="A56" i="13" s="1"/>
  <c r="A57" i="13" s="1"/>
  <c r="A58" i="13" s="1"/>
  <c r="A59" i="13" s="1"/>
  <c r="A60" i="13" s="1"/>
  <c r="A61" i="13" s="1"/>
  <c r="A62" i="13" s="1"/>
  <c r="A63" i="13" l="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N4" i="74"/>
  <c r="N5" i="74" s="1"/>
  <c r="N6" i="74" s="1"/>
  <c r="N7" i="74" s="1"/>
  <c r="N8" i="74" s="1"/>
  <c r="D8" i="58" l="1"/>
  <c r="E8" i="58"/>
  <c r="F8" i="58"/>
  <c r="G8" i="58"/>
  <c r="H8" i="58"/>
  <c r="I8" i="58"/>
  <c r="J8" i="58"/>
  <c r="K8" i="58"/>
  <c r="L8" i="58"/>
  <c r="M8" i="58"/>
  <c r="N8" i="58"/>
  <c r="O8" i="58"/>
  <c r="P8" i="58"/>
  <c r="Q8" i="58"/>
  <c r="R8" i="58"/>
  <c r="W8" i="58"/>
  <c r="X8" i="58"/>
  <c r="Y8" i="58"/>
  <c r="AB8" i="58"/>
  <c r="AC8" i="58" s="1"/>
  <c r="D9" i="58"/>
  <c r="E9" i="58"/>
  <c r="F9" i="58"/>
  <c r="G9" i="58"/>
  <c r="H9" i="58"/>
  <c r="I9" i="58"/>
  <c r="J9" i="58"/>
  <c r="K9" i="58"/>
  <c r="L9" i="58"/>
  <c r="M9" i="58"/>
  <c r="N9" i="58"/>
  <c r="O9" i="58"/>
  <c r="P9" i="58"/>
  <c r="Q9" i="58"/>
  <c r="R9" i="58"/>
  <c r="W9" i="58"/>
  <c r="X9" i="58"/>
  <c r="Y9" i="58"/>
  <c r="AB9" i="58"/>
  <c r="AC9" i="58" s="1"/>
  <c r="D10" i="58"/>
  <c r="E10" i="58"/>
  <c r="F10" i="58"/>
  <c r="G10" i="58"/>
  <c r="H10" i="58"/>
  <c r="I10" i="58"/>
  <c r="J10" i="58"/>
  <c r="K10" i="58"/>
  <c r="L10" i="58"/>
  <c r="M10" i="58"/>
  <c r="N10" i="58"/>
  <c r="O10" i="58"/>
  <c r="P10" i="58"/>
  <c r="Q10" i="58"/>
  <c r="R10" i="58"/>
  <c r="W10" i="58"/>
  <c r="X10" i="58"/>
  <c r="Y10" i="58"/>
  <c r="AB10" i="58"/>
  <c r="AC10" i="58" s="1"/>
  <c r="B8" i="57"/>
  <c r="Y8" i="57" s="1"/>
  <c r="D8" i="57"/>
  <c r="P26" i="74" s="1"/>
  <c r="E8" i="57"/>
  <c r="F8" i="57"/>
  <c r="G8" i="57"/>
  <c r="H8" i="57"/>
  <c r="I8" i="57"/>
  <c r="J8" i="57"/>
  <c r="K8" i="57"/>
  <c r="L8" i="57"/>
  <c r="M8" i="57"/>
  <c r="N8" i="57"/>
  <c r="O8" i="57"/>
  <c r="P8" i="57"/>
  <c r="Q8" i="57"/>
  <c r="R8" i="57"/>
  <c r="U8" i="57"/>
  <c r="W8" i="57"/>
  <c r="AA8" i="57"/>
  <c r="AE8" i="57" s="1"/>
  <c r="B9" i="57"/>
  <c r="AA9" i="58" s="1"/>
  <c r="D9" i="57"/>
  <c r="P27" i="74" s="1"/>
  <c r="E9" i="57"/>
  <c r="F9" i="57"/>
  <c r="G9" i="57"/>
  <c r="H9" i="57"/>
  <c r="I9" i="57"/>
  <c r="J9" i="57"/>
  <c r="K9" i="57"/>
  <c r="L9" i="57"/>
  <c r="M9" i="57"/>
  <c r="N9" i="57"/>
  <c r="O9" i="57"/>
  <c r="P9" i="57"/>
  <c r="Q9" i="57"/>
  <c r="R9" i="57"/>
  <c r="U9" i="57"/>
  <c r="W9" i="57"/>
  <c r="Y9" i="57"/>
  <c r="AA9" i="57"/>
  <c r="B10" i="57"/>
  <c r="Z10" i="57" s="1"/>
  <c r="D10" i="57"/>
  <c r="P28" i="74" s="1"/>
  <c r="E10" i="57"/>
  <c r="F10" i="57"/>
  <c r="G10" i="57"/>
  <c r="H10" i="57"/>
  <c r="I10" i="57"/>
  <c r="J10" i="57"/>
  <c r="K10" i="57"/>
  <c r="L10" i="57"/>
  <c r="M10" i="57"/>
  <c r="N10" i="57"/>
  <c r="O10" i="57"/>
  <c r="P10" i="57"/>
  <c r="Q10" i="57"/>
  <c r="R10" i="57"/>
  <c r="U10" i="57"/>
  <c r="W10" i="57"/>
  <c r="AA10" i="57"/>
  <c r="D8" i="67"/>
  <c r="E8" i="67"/>
  <c r="F8" i="67"/>
  <c r="G8" i="67"/>
  <c r="H8" i="67"/>
  <c r="I8" i="67"/>
  <c r="J8" i="67"/>
  <c r="K8" i="67"/>
  <c r="L8" i="67"/>
  <c r="M8" i="67"/>
  <c r="N8" i="67"/>
  <c r="O8" i="67"/>
  <c r="P8" i="67"/>
  <c r="Q8" i="67"/>
  <c r="R8" i="67"/>
  <c r="D9" i="67"/>
  <c r="E9" i="67"/>
  <c r="F9" i="67"/>
  <c r="G9" i="67"/>
  <c r="H9" i="67"/>
  <c r="I9" i="67"/>
  <c r="J9" i="67"/>
  <c r="K9" i="67"/>
  <c r="L9" i="67"/>
  <c r="M9" i="67"/>
  <c r="N9" i="67"/>
  <c r="O9" i="67"/>
  <c r="P9" i="67"/>
  <c r="Q9" i="67"/>
  <c r="R9" i="67"/>
  <c r="D10" i="67"/>
  <c r="E10" i="67"/>
  <c r="F10" i="67"/>
  <c r="G10" i="67"/>
  <c r="H10" i="67"/>
  <c r="I10" i="67"/>
  <c r="J10" i="67"/>
  <c r="K10" i="67"/>
  <c r="L10" i="67"/>
  <c r="M10" i="67"/>
  <c r="N10" i="67"/>
  <c r="O10" i="67"/>
  <c r="P10" i="67"/>
  <c r="Q10" i="67"/>
  <c r="R10" i="67"/>
  <c r="D11" i="67"/>
  <c r="E11" i="67"/>
  <c r="F11" i="67"/>
  <c r="G11" i="67"/>
  <c r="H11" i="67"/>
  <c r="I11" i="67"/>
  <c r="J11" i="67"/>
  <c r="K11" i="67"/>
  <c r="L11" i="67"/>
  <c r="M11" i="67"/>
  <c r="N11" i="67"/>
  <c r="O11" i="67"/>
  <c r="P11" i="67"/>
  <c r="Q11" i="67"/>
  <c r="R11" i="67"/>
  <c r="D12" i="67"/>
  <c r="E12" i="67"/>
  <c r="F12" i="67"/>
  <c r="G12" i="67"/>
  <c r="H12" i="67"/>
  <c r="I12" i="67"/>
  <c r="J12" i="67"/>
  <c r="K12" i="67"/>
  <c r="L12" i="67"/>
  <c r="M12" i="67"/>
  <c r="N12" i="67"/>
  <c r="O12" i="67"/>
  <c r="P12" i="67"/>
  <c r="Q12" i="67"/>
  <c r="R12" i="67"/>
  <c r="D13" i="67"/>
  <c r="E13" i="67"/>
  <c r="F13" i="67"/>
  <c r="G13" i="67"/>
  <c r="H13" i="67"/>
  <c r="I13" i="67"/>
  <c r="J13" i="67"/>
  <c r="K13" i="67"/>
  <c r="L13" i="67"/>
  <c r="M13" i="67"/>
  <c r="N13" i="67"/>
  <c r="O13" i="67"/>
  <c r="P13" i="67"/>
  <c r="Q13" i="67"/>
  <c r="R13" i="67"/>
  <c r="D14" i="67"/>
  <c r="E14" i="67"/>
  <c r="F14" i="67"/>
  <c r="G14" i="67"/>
  <c r="H14" i="67"/>
  <c r="I14" i="67"/>
  <c r="J14" i="67"/>
  <c r="K14" i="67"/>
  <c r="L14" i="67"/>
  <c r="M14" i="67"/>
  <c r="N14" i="67"/>
  <c r="O14" i="67"/>
  <c r="P14" i="67"/>
  <c r="Q14" i="67"/>
  <c r="R14" i="67"/>
  <c r="D15" i="67"/>
  <c r="E15" i="67"/>
  <c r="F15" i="67"/>
  <c r="G15" i="67"/>
  <c r="H15" i="67"/>
  <c r="I15" i="67"/>
  <c r="J15" i="67"/>
  <c r="K15" i="67"/>
  <c r="L15" i="67"/>
  <c r="M15" i="67"/>
  <c r="N15" i="67"/>
  <c r="O15" i="67"/>
  <c r="P15" i="67"/>
  <c r="Q15" i="67"/>
  <c r="R15" i="67"/>
  <c r="D10" i="56"/>
  <c r="E10" i="56"/>
  <c r="F10" i="56"/>
  <c r="I10" i="56"/>
  <c r="J10" i="56"/>
  <c r="L10" i="56"/>
  <c r="M10" i="56"/>
  <c r="N10" i="56"/>
  <c r="O10" i="56"/>
  <c r="P10" i="56"/>
  <c r="Q10" i="56"/>
  <c r="R10" i="56"/>
  <c r="D11" i="56"/>
  <c r="E11" i="56"/>
  <c r="F11" i="56"/>
  <c r="G11" i="56"/>
  <c r="H11" i="56"/>
  <c r="I11" i="56"/>
  <c r="J11" i="56"/>
  <c r="K11" i="56"/>
  <c r="L11" i="56"/>
  <c r="M11" i="56"/>
  <c r="N11" i="56"/>
  <c r="O11" i="56"/>
  <c r="P11" i="56"/>
  <c r="Q11" i="56"/>
  <c r="R11" i="56"/>
  <c r="D12" i="56"/>
  <c r="E12" i="56"/>
  <c r="F12" i="56"/>
  <c r="G12" i="56"/>
  <c r="H12" i="56"/>
  <c r="I12" i="56"/>
  <c r="J12" i="56"/>
  <c r="K12" i="56"/>
  <c r="L12" i="56"/>
  <c r="M12" i="56"/>
  <c r="N12" i="56"/>
  <c r="O12" i="56"/>
  <c r="P12" i="56"/>
  <c r="Q12" i="56"/>
  <c r="R12" i="56"/>
  <c r="D13" i="56"/>
  <c r="E13" i="56"/>
  <c r="F13" i="56"/>
  <c r="G13" i="56"/>
  <c r="H13" i="56"/>
  <c r="I13" i="56"/>
  <c r="J13" i="56"/>
  <c r="K13" i="56"/>
  <c r="L13" i="56"/>
  <c r="M13" i="56"/>
  <c r="N13" i="56"/>
  <c r="O13" i="56"/>
  <c r="P13" i="56"/>
  <c r="Q13" i="56"/>
  <c r="R13" i="56"/>
  <c r="D14" i="56"/>
  <c r="E14" i="56"/>
  <c r="F14" i="56"/>
  <c r="G14" i="56"/>
  <c r="H14" i="56"/>
  <c r="I14" i="56"/>
  <c r="J14" i="56"/>
  <c r="K14" i="56"/>
  <c r="L14" i="56"/>
  <c r="M14" i="56"/>
  <c r="N14" i="56"/>
  <c r="O14" i="56"/>
  <c r="P14" i="56"/>
  <c r="Q14" i="56"/>
  <c r="R14" i="56"/>
  <c r="D15" i="56"/>
  <c r="E15" i="56"/>
  <c r="F15" i="56"/>
  <c r="G15" i="56"/>
  <c r="H15" i="56"/>
  <c r="I15" i="56"/>
  <c r="J15" i="56"/>
  <c r="K15" i="56"/>
  <c r="L15" i="56"/>
  <c r="M15" i="56"/>
  <c r="N15" i="56"/>
  <c r="O15" i="56"/>
  <c r="P15" i="56"/>
  <c r="Q15" i="56"/>
  <c r="R15" i="56"/>
  <c r="D16" i="56"/>
  <c r="E16" i="56"/>
  <c r="F16" i="56"/>
  <c r="G16" i="56"/>
  <c r="H16" i="56"/>
  <c r="I16" i="56"/>
  <c r="J16" i="56"/>
  <c r="K16" i="56"/>
  <c r="L16" i="56"/>
  <c r="M16" i="56"/>
  <c r="N16" i="56"/>
  <c r="O16" i="56"/>
  <c r="P16" i="56"/>
  <c r="Q16" i="56"/>
  <c r="R16" i="56"/>
  <c r="D17" i="56"/>
  <c r="E17" i="56"/>
  <c r="F17" i="56"/>
  <c r="G17" i="56"/>
  <c r="H17" i="56"/>
  <c r="I17" i="56"/>
  <c r="J17" i="56"/>
  <c r="K17" i="56"/>
  <c r="L17" i="56"/>
  <c r="M17" i="56"/>
  <c r="N17" i="56"/>
  <c r="O17" i="56"/>
  <c r="P17" i="56"/>
  <c r="Q17" i="56"/>
  <c r="R17" i="56"/>
  <c r="D18" i="56"/>
  <c r="E18" i="56"/>
  <c r="F18" i="56"/>
  <c r="G18" i="56"/>
  <c r="H18" i="56"/>
  <c r="I18" i="56"/>
  <c r="J18" i="56"/>
  <c r="K18" i="56"/>
  <c r="L18" i="56"/>
  <c r="M18" i="56"/>
  <c r="N18" i="56"/>
  <c r="O18" i="56"/>
  <c r="P18" i="56"/>
  <c r="Q18" i="56"/>
  <c r="R18" i="56"/>
  <c r="D19" i="56"/>
  <c r="E19" i="56"/>
  <c r="F19" i="56"/>
  <c r="G19" i="56"/>
  <c r="H19" i="56"/>
  <c r="I19" i="56"/>
  <c r="J19" i="56"/>
  <c r="K19" i="56"/>
  <c r="L19" i="56"/>
  <c r="M19" i="56"/>
  <c r="N19" i="56"/>
  <c r="O19" i="56"/>
  <c r="P19" i="56"/>
  <c r="Q19" i="56"/>
  <c r="R19" i="56"/>
  <c r="D20" i="56"/>
  <c r="E20" i="56"/>
  <c r="F20" i="56"/>
  <c r="G20" i="56"/>
  <c r="H20" i="56"/>
  <c r="I20" i="56"/>
  <c r="J20" i="56"/>
  <c r="K20" i="56"/>
  <c r="L20" i="56"/>
  <c r="M20" i="56"/>
  <c r="N20" i="56"/>
  <c r="O20" i="56"/>
  <c r="P20" i="56"/>
  <c r="Q20" i="56"/>
  <c r="R20" i="56"/>
  <c r="D10" i="69"/>
  <c r="E10" i="69"/>
  <c r="F10" i="69"/>
  <c r="I10" i="69"/>
  <c r="J10" i="69"/>
  <c r="L10" i="69"/>
  <c r="M10" i="69"/>
  <c r="N10" i="69"/>
  <c r="O10" i="69"/>
  <c r="P10" i="69"/>
  <c r="Q10" i="69"/>
  <c r="R10" i="69"/>
  <c r="D11" i="69"/>
  <c r="E11" i="69"/>
  <c r="F11" i="69"/>
  <c r="G11" i="69"/>
  <c r="H11" i="69"/>
  <c r="I11" i="69"/>
  <c r="J11" i="69"/>
  <c r="K11" i="69"/>
  <c r="L11" i="69"/>
  <c r="M11" i="69"/>
  <c r="N11" i="69"/>
  <c r="O11" i="69"/>
  <c r="P11" i="69"/>
  <c r="Q11" i="69"/>
  <c r="R11" i="69"/>
  <c r="D12" i="69"/>
  <c r="E12" i="69"/>
  <c r="F12" i="69"/>
  <c r="G12" i="69"/>
  <c r="H12" i="69"/>
  <c r="I12" i="69"/>
  <c r="J12" i="69"/>
  <c r="K12" i="69"/>
  <c r="L12" i="69"/>
  <c r="M12" i="69"/>
  <c r="N12" i="69"/>
  <c r="O12" i="69"/>
  <c r="P12" i="69"/>
  <c r="Q12" i="69"/>
  <c r="R12" i="69"/>
  <c r="D13" i="69"/>
  <c r="E13" i="69"/>
  <c r="F13" i="69"/>
  <c r="G13" i="69"/>
  <c r="H13" i="69"/>
  <c r="I13" i="69"/>
  <c r="J13" i="69"/>
  <c r="K13" i="69"/>
  <c r="L13" i="69"/>
  <c r="M13" i="69"/>
  <c r="N13" i="69"/>
  <c r="O13" i="69"/>
  <c r="P13" i="69"/>
  <c r="Q13" i="69"/>
  <c r="R13" i="69"/>
  <c r="D14" i="69"/>
  <c r="E14" i="69"/>
  <c r="F14" i="69"/>
  <c r="G14" i="69"/>
  <c r="H14" i="69"/>
  <c r="I14" i="69"/>
  <c r="J14" i="69"/>
  <c r="K14" i="69"/>
  <c r="L14" i="69"/>
  <c r="M14" i="69"/>
  <c r="N14" i="69"/>
  <c r="O14" i="69"/>
  <c r="P14" i="69"/>
  <c r="Q14" i="69"/>
  <c r="R14" i="69"/>
  <c r="D15" i="69"/>
  <c r="E15" i="69"/>
  <c r="F15" i="69"/>
  <c r="G15" i="69"/>
  <c r="H15" i="69"/>
  <c r="I15" i="69"/>
  <c r="J15" i="69"/>
  <c r="K15" i="69"/>
  <c r="L15" i="69"/>
  <c r="M15" i="69"/>
  <c r="N15" i="69"/>
  <c r="O15" i="69"/>
  <c r="P15" i="69"/>
  <c r="Q15" i="69"/>
  <c r="R15" i="69"/>
  <c r="D16" i="69"/>
  <c r="E16" i="69"/>
  <c r="F16" i="69"/>
  <c r="G16" i="69"/>
  <c r="H16" i="69"/>
  <c r="I16" i="69"/>
  <c r="J16" i="69"/>
  <c r="K16" i="69"/>
  <c r="L16" i="69"/>
  <c r="M16" i="69"/>
  <c r="N16" i="69"/>
  <c r="O16" i="69"/>
  <c r="P16" i="69"/>
  <c r="Q16" i="69"/>
  <c r="R16" i="69"/>
  <c r="D17" i="69"/>
  <c r="E17" i="69"/>
  <c r="F17" i="69"/>
  <c r="G17" i="69"/>
  <c r="H17" i="69"/>
  <c r="I17" i="69"/>
  <c r="J17" i="69"/>
  <c r="K17" i="69"/>
  <c r="L17" i="69"/>
  <c r="M17" i="69"/>
  <c r="N17" i="69"/>
  <c r="O17" i="69"/>
  <c r="P17" i="69"/>
  <c r="Q17" i="69"/>
  <c r="R17" i="69"/>
  <c r="D18" i="69"/>
  <c r="E18" i="69"/>
  <c r="F18" i="69"/>
  <c r="G18" i="69"/>
  <c r="H18" i="69"/>
  <c r="I18" i="69"/>
  <c r="J18" i="69"/>
  <c r="K18" i="69"/>
  <c r="L18" i="69"/>
  <c r="M18" i="69"/>
  <c r="N18" i="69"/>
  <c r="O18" i="69"/>
  <c r="P18" i="69"/>
  <c r="Q18" i="69"/>
  <c r="R18" i="69"/>
  <c r="D19" i="69"/>
  <c r="E19" i="69"/>
  <c r="F19" i="69"/>
  <c r="G19" i="69"/>
  <c r="H19" i="69"/>
  <c r="I19" i="69"/>
  <c r="J19" i="69"/>
  <c r="K19" i="69"/>
  <c r="L19" i="69"/>
  <c r="M19" i="69"/>
  <c r="N19" i="69"/>
  <c r="O19" i="69"/>
  <c r="P19" i="69"/>
  <c r="Q19" i="69"/>
  <c r="R19" i="69"/>
  <c r="D20" i="69"/>
  <c r="E20" i="69"/>
  <c r="F20" i="69"/>
  <c r="G20" i="69"/>
  <c r="H20" i="69"/>
  <c r="I20" i="69"/>
  <c r="J20" i="69"/>
  <c r="K20" i="69"/>
  <c r="L20" i="69"/>
  <c r="M20" i="69"/>
  <c r="N20" i="69"/>
  <c r="O20" i="69"/>
  <c r="P20" i="69"/>
  <c r="Q20" i="69"/>
  <c r="R20" i="69"/>
  <c r="D10" i="55"/>
  <c r="E10" i="55"/>
  <c r="F10" i="55"/>
  <c r="I10" i="55"/>
  <c r="J10" i="55"/>
  <c r="L10" i="55"/>
  <c r="M10" i="55"/>
  <c r="N10" i="55"/>
  <c r="O10" i="55"/>
  <c r="P10" i="55"/>
  <c r="Q10" i="55"/>
  <c r="R10" i="55"/>
  <c r="Y10" i="55"/>
  <c r="Z10" i="55"/>
  <c r="AA10" i="55"/>
  <c r="AB10" i="55"/>
  <c r="D11" i="55"/>
  <c r="E11" i="55"/>
  <c r="F11" i="55"/>
  <c r="G11" i="55"/>
  <c r="H11" i="55"/>
  <c r="I11" i="55"/>
  <c r="J11" i="55"/>
  <c r="K11" i="55"/>
  <c r="L11" i="55"/>
  <c r="M11" i="55"/>
  <c r="N11" i="55"/>
  <c r="O11" i="55"/>
  <c r="P11" i="55"/>
  <c r="Q11" i="55"/>
  <c r="R11" i="55"/>
  <c r="Y11" i="55"/>
  <c r="Z11" i="55"/>
  <c r="AA11" i="55"/>
  <c r="AB11" i="55"/>
  <c r="D12" i="55"/>
  <c r="E12" i="55"/>
  <c r="F12" i="55"/>
  <c r="G12" i="55"/>
  <c r="H12" i="55"/>
  <c r="I12" i="55"/>
  <c r="J12" i="55"/>
  <c r="K12" i="55"/>
  <c r="L12" i="55"/>
  <c r="M12" i="55"/>
  <c r="N12" i="55"/>
  <c r="O12" i="55"/>
  <c r="P12" i="55"/>
  <c r="Q12" i="55"/>
  <c r="R12" i="55"/>
  <c r="Y12" i="55"/>
  <c r="Z12" i="55"/>
  <c r="AA12" i="55"/>
  <c r="AB12" i="55"/>
  <c r="D13" i="55"/>
  <c r="E13" i="55"/>
  <c r="F13" i="55"/>
  <c r="G13" i="55"/>
  <c r="H13" i="55"/>
  <c r="I13" i="55"/>
  <c r="J13" i="55"/>
  <c r="K13" i="55"/>
  <c r="L13" i="55"/>
  <c r="M13" i="55"/>
  <c r="N13" i="55"/>
  <c r="O13" i="55"/>
  <c r="P13" i="55"/>
  <c r="Q13" i="55"/>
  <c r="R13" i="55"/>
  <c r="Y13" i="55"/>
  <c r="Z13" i="55"/>
  <c r="AA13" i="55"/>
  <c r="AB13" i="55"/>
  <c r="D14" i="55"/>
  <c r="E14" i="55"/>
  <c r="F14" i="55"/>
  <c r="G14" i="55"/>
  <c r="H14" i="55"/>
  <c r="I14" i="55"/>
  <c r="J14" i="55"/>
  <c r="K14" i="55"/>
  <c r="L14" i="55"/>
  <c r="M14" i="55"/>
  <c r="N14" i="55"/>
  <c r="O14" i="55"/>
  <c r="P14" i="55"/>
  <c r="Q14" i="55"/>
  <c r="R14" i="55"/>
  <c r="Y14" i="55"/>
  <c r="Z14" i="55"/>
  <c r="AA14" i="55"/>
  <c r="AB14" i="55"/>
  <c r="D15" i="55"/>
  <c r="E15" i="55"/>
  <c r="F15" i="55"/>
  <c r="G15" i="55"/>
  <c r="H15" i="55"/>
  <c r="I15" i="55"/>
  <c r="J15" i="55"/>
  <c r="K15" i="55"/>
  <c r="L15" i="55"/>
  <c r="M15" i="55"/>
  <c r="N15" i="55"/>
  <c r="O15" i="55"/>
  <c r="P15" i="55"/>
  <c r="Q15" i="55"/>
  <c r="R15" i="55"/>
  <c r="Y15" i="55"/>
  <c r="Z15" i="55"/>
  <c r="AA15" i="55"/>
  <c r="AB15" i="55"/>
  <c r="D16" i="55"/>
  <c r="E16" i="55"/>
  <c r="F16" i="55"/>
  <c r="G16" i="55"/>
  <c r="H16" i="55"/>
  <c r="I16" i="55"/>
  <c r="J16" i="55"/>
  <c r="K16" i="55"/>
  <c r="L16" i="55"/>
  <c r="M16" i="55"/>
  <c r="N16" i="55"/>
  <c r="O16" i="55"/>
  <c r="P16" i="55"/>
  <c r="Q16" i="55"/>
  <c r="R16" i="55"/>
  <c r="Y16" i="55"/>
  <c r="Z16" i="55"/>
  <c r="AA16" i="55"/>
  <c r="AB16" i="55"/>
  <c r="D17" i="55"/>
  <c r="E17" i="55"/>
  <c r="F17" i="55"/>
  <c r="G17" i="55"/>
  <c r="H17" i="55"/>
  <c r="I17" i="55"/>
  <c r="J17" i="55"/>
  <c r="K17" i="55"/>
  <c r="L17" i="55"/>
  <c r="M17" i="55"/>
  <c r="N17" i="55"/>
  <c r="O17" i="55"/>
  <c r="P17" i="55"/>
  <c r="Q17" i="55"/>
  <c r="R17" i="55"/>
  <c r="Y17" i="55"/>
  <c r="Z17" i="55"/>
  <c r="AA17" i="55"/>
  <c r="AB17" i="55"/>
  <c r="D18" i="55"/>
  <c r="E18" i="55"/>
  <c r="F18" i="55"/>
  <c r="G18" i="55"/>
  <c r="H18" i="55"/>
  <c r="I18" i="55"/>
  <c r="J18" i="55"/>
  <c r="K18" i="55"/>
  <c r="L18" i="55"/>
  <c r="M18" i="55"/>
  <c r="N18" i="55"/>
  <c r="O18" i="55"/>
  <c r="P18" i="55"/>
  <c r="Q18" i="55"/>
  <c r="R18" i="55"/>
  <c r="Y18" i="55"/>
  <c r="Z18" i="55"/>
  <c r="AA18" i="55"/>
  <c r="AB18" i="55"/>
  <c r="D19" i="55"/>
  <c r="E19" i="55"/>
  <c r="F19" i="55"/>
  <c r="G19" i="55"/>
  <c r="H19" i="55"/>
  <c r="I19" i="55"/>
  <c r="J19" i="55"/>
  <c r="K19" i="55"/>
  <c r="L19" i="55"/>
  <c r="M19" i="55"/>
  <c r="N19" i="55"/>
  <c r="O19" i="55"/>
  <c r="P19" i="55"/>
  <c r="Q19" i="55"/>
  <c r="R19" i="55"/>
  <c r="Y19" i="55"/>
  <c r="Z19" i="55"/>
  <c r="AA19" i="55"/>
  <c r="AB19" i="55"/>
  <c r="D20" i="55"/>
  <c r="E20" i="55"/>
  <c r="F20" i="55"/>
  <c r="G20" i="55"/>
  <c r="H20" i="55"/>
  <c r="I20" i="55"/>
  <c r="J20" i="55"/>
  <c r="K20" i="55"/>
  <c r="L20" i="55"/>
  <c r="M20" i="55"/>
  <c r="N20" i="55"/>
  <c r="O20" i="55"/>
  <c r="P20" i="55"/>
  <c r="Q20" i="55"/>
  <c r="R20" i="55"/>
  <c r="Y20" i="55"/>
  <c r="Z20" i="55"/>
  <c r="AA20" i="55"/>
  <c r="AB20" i="55"/>
  <c r="D10" i="54"/>
  <c r="E10" i="54"/>
  <c r="F10" i="54"/>
  <c r="I10" i="54"/>
  <c r="J10" i="54"/>
  <c r="L10" i="54"/>
  <c r="M10" i="54"/>
  <c r="N10" i="54"/>
  <c r="O10" i="54"/>
  <c r="P10" i="54"/>
  <c r="Q10" i="54"/>
  <c r="R10" i="54"/>
  <c r="AD10" i="54"/>
  <c r="D11" i="54"/>
  <c r="E11" i="54"/>
  <c r="F11" i="54"/>
  <c r="G11" i="54"/>
  <c r="H11" i="54"/>
  <c r="I11" i="54"/>
  <c r="J11" i="54"/>
  <c r="K11" i="54"/>
  <c r="L11" i="54"/>
  <c r="M11" i="54"/>
  <c r="N11" i="54"/>
  <c r="O11" i="54"/>
  <c r="P11" i="54"/>
  <c r="Q11" i="54"/>
  <c r="R11" i="54"/>
  <c r="AD11" i="54"/>
  <c r="D12" i="54"/>
  <c r="E12" i="54"/>
  <c r="F12" i="54"/>
  <c r="G12" i="54"/>
  <c r="H12" i="54"/>
  <c r="I12" i="54"/>
  <c r="J12" i="54"/>
  <c r="K12" i="54"/>
  <c r="L12" i="54"/>
  <c r="M12" i="54"/>
  <c r="N12" i="54"/>
  <c r="O12" i="54"/>
  <c r="P12" i="54"/>
  <c r="Q12" i="54"/>
  <c r="R12" i="54"/>
  <c r="AD12" i="54"/>
  <c r="D13" i="54"/>
  <c r="E13" i="54"/>
  <c r="F13" i="54"/>
  <c r="G13" i="54"/>
  <c r="H13" i="54"/>
  <c r="I13" i="54"/>
  <c r="J13" i="54"/>
  <c r="K13" i="54"/>
  <c r="L13" i="54"/>
  <c r="M13" i="54"/>
  <c r="N13" i="54"/>
  <c r="O13" i="54"/>
  <c r="P13" i="54"/>
  <c r="Q13" i="54"/>
  <c r="R13" i="54"/>
  <c r="AD13" i="54"/>
  <c r="D14" i="54"/>
  <c r="E14" i="54"/>
  <c r="F14" i="54"/>
  <c r="G14" i="54"/>
  <c r="H14" i="54"/>
  <c r="I14" i="54"/>
  <c r="J14" i="54"/>
  <c r="K14" i="54"/>
  <c r="L14" i="54"/>
  <c r="M14" i="54"/>
  <c r="N14" i="54"/>
  <c r="O14" i="54"/>
  <c r="P14" i="54"/>
  <c r="Q14" i="54"/>
  <c r="R14" i="54"/>
  <c r="AD14" i="54"/>
  <c r="D15" i="54"/>
  <c r="E15" i="54"/>
  <c r="F15" i="54"/>
  <c r="G15" i="54"/>
  <c r="H15" i="54"/>
  <c r="I15" i="54"/>
  <c r="J15" i="54"/>
  <c r="K15" i="54"/>
  <c r="L15" i="54"/>
  <c r="M15" i="54"/>
  <c r="N15" i="54"/>
  <c r="O15" i="54"/>
  <c r="P15" i="54"/>
  <c r="Q15" i="54"/>
  <c r="R15" i="54"/>
  <c r="AD15" i="54"/>
  <c r="D16" i="54"/>
  <c r="E16" i="54"/>
  <c r="F16" i="54"/>
  <c r="G16" i="54"/>
  <c r="H16" i="54"/>
  <c r="I16" i="54"/>
  <c r="J16" i="54"/>
  <c r="K16" i="54"/>
  <c r="L16" i="54"/>
  <c r="M16" i="54"/>
  <c r="N16" i="54"/>
  <c r="O16" i="54"/>
  <c r="P16" i="54"/>
  <c r="Q16" i="54"/>
  <c r="R16" i="54"/>
  <c r="AD16" i="54"/>
  <c r="D17" i="54"/>
  <c r="E17" i="54"/>
  <c r="F17" i="54"/>
  <c r="G17" i="54"/>
  <c r="H17" i="54"/>
  <c r="I17" i="54"/>
  <c r="J17" i="54"/>
  <c r="K17" i="54"/>
  <c r="L17" i="54"/>
  <c r="M17" i="54"/>
  <c r="N17" i="54"/>
  <c r="O17" i="54"/>
  <c r="P17" i="54"/>
  <c r="Q17" i="54"/>
  <c r="R17" i="54"/>
  <c r="AD17" i="54"/>
  <c r="D18" i="54"/>
  <c r="E18" i="54"/>
  <c r="F18" i="54"/>
  <c r="G18" i="54"/>
  <c r="H18" i="54"/>
  <c r="I18" i="54"/>
  <c r="J18" i="54"/>
  <c r="K18" i="54"/>
  <c r="L18" i="54"/>
  <c r="M18" i="54"/>
  <c r="N18" i="54"/>
  <c r="O18" i="54"/>
  <c r="P18" i="54"/>
  <c r="Q18" i="54"/>
  <c r="R18" i="54"/>
  <c r="AD18" i="54"/>
  <c r="D19" i="54"/>
  <c r="E19" i="54"/>
  <c r="F19" i="54"/>
  <c r="G19" i="54"/>
  <c r="H19" i="54"/>
  <c r="I19" i="54"/>
  <c r="J19" i="54"/>
  <c r="K19" i="54"/>
  <c r="L19" i="54"/>
  <c r="M19" i="54"/>
  <c r="N19" i="54"/>
  <c r="O19" i="54"/>
  <c r="P19" i="54"/>
  <c r="Q19" i="54"/>
  <c r="R19" i="54"/>
  <c r="AD19" i="54"/>
  <c r="D20" i="54"/>
  <c r="E20" i="54"/>
  <c r="F20" i="54"/>
  <c r="G20" i="54"/>
  <c r="H20" i="54"/>
  <c r="I20" i="54"/>
  <c r="J20" i="54"/>
  <c r="K20" i="54"/>
  <c r="L20" i="54"/>
  <c r="M20" i="54"/>
  <c r="N20" i="54"/>
  <c r="O20" i="54"/>
  <c r="P20" i="54"/>
  <c r="Q20" i="54"/>
  <c r="R20" i="54"/>
  <c r="AD20" i="54"/>
  <c r="AN8" i="50"/>
  <c r="AN9" i="50"/>
  <c r="AN10" i="50"/>
  <c r="AC10" i="53" s="1"/>
  <c r="AN11" i="50"/>
  <c r="AC11" i="53" s="1"/>
  <c r="AN12" i="50"/>
  <c r="AC12" i="53" s="1"/>
  <c r="AN13" i="50"/>
  <c r="AC13" i="53" s="1"/>
  <c r="AN14" i="50"/>
  <c r="AC14" i="53" s="1"/>
  <c r="AN15" i="50"/>
  <c r="AC15" i="53" s="1"/>
  <c r="AN16" i="50"/>
  <c r="AC16" i="53" s="1"/>
  <c r="AN17" i="50"/>
  <c r="AC17" i="53" s="1"/>
  <c r="AN18" i="50"/>
  <c r="AC18" i="53" s="1"/>
  <c r="AN19" i="50"/>
  <c r="AC19" i="53" s="1"/>
  <c r="AN20" i="50"/>
  <c r="AC20" i="53" s="1"/>
  <c r="D10" i="53"/>
  <c r="E10" i="53"/>
  <c r="F10" i="53"/>
  <c r="I10" i="53"/>
  <c r="J10" i="53"/>
  <c r="L10" i="53"/>
  <c r="M10" i="53"/>
  <c r="N10" i="53"/>
  <c r="O10" i="53"/>
  <c r="P10" i="53"/>
  <c r="Q10" i="53"/>
  <c r="R10" i="53"/>
  <c r="D11" i="53"/>
  <c r="E11" i="53"/>
  <c r="F11" i="53"/>
  <c r="G11" i="53"/>
  <c r="H11" i="53"/>
  <c r="I11" i="53"/>
  <c r="J11" i="53"/>
  <c r="K11" i="53"/>
  <c r="L11" i="53"/>
  <c r="M11" i="53"/>
  <c r="N11" i="53"/>
  <c r="O11" i="53"/>
  <c r="P11" i="53"/>
  <c r="Q11" i="53"/>
  <c r="R11" i="53"/>
  <c r="D12" i="53"/>
  <c r="E12" i="53"/>
  <c r="F12" i="53"/>
  <c r="G12" i="53"/>
  <c r="H12" i="53"/>
  <c r="I12" i="53"/>
  <c r="J12" i="53"/>
  <c r="K12" i="53"/>
  <c r="L12" i="53"/>
  <c r="M12" i="53"/>
  <c r="N12" i="53"/>
  <c r="O12" i="53"/>
  <c r="P12" i="53"/>
  <c r="Q12" i="53"/>
  <c r="R12" i="53"/>
  <c r="D13" i="53"/>
  <c r="E13" i="53"/>
  <c r="F13" i="53"/>
  <c r="G13" i="53"/>
  <c r="H13" i="53"/>
  <c r="I13" i="53"/>
  <c r="J13" i="53"/>
  <c r="K13" i="53"/>
  <c r="L13" i="53"/>
  <c r="M13" i="53"/>
  <c r="N13" i="53"/>
  <c r="O13" i="53"/>
  <c r="P13" i="53"/>
  <c r="Q13" i="53"/>
  <c r="R13" i="53"/>
  <c r="D14" i="53"/>
  <c r="E14" i="53"/>
  <c r="F14" i="53"/>
  <c r="G14" i="53"/>
  <c r="H14" i="53"/>
  <c r="I14" i="53"/>
  <c r="J14" i="53"/>
  <c r="K14" i="53"/>
  <c r="L14" i="53"/>
  <c r="M14" i="53"/>
  <c r="N14" i="53"/>
  <c r="O14" i="53"/>
  <c r="P14" i="53"/>
  <c r="Q14" i="53"/>
  <c r="R14" i="53"/>
  <c r="D15" i="53"/>
  <c r="E15" i="53"/>
  <c r="F15" i="53"/>
  <c r="G15" i="53"/>
  <c r="H15" i="53"/>
  <c r="I15" i="53"/>
  <c r="J15" i="53"/>
  <c r="K15" i="53"/>
  <c r="L15" i="53"/>
  <c r="M15" i="53"/>
  <c r="N15" i="53"/>
  <c r="O15" i="53"/>
  <c r="P15" i="53"/>
  <c r="Q15" i="53"/>
  <c r="R15" i="53"/>
  <c r="D16" i="53"/>
  <c r="E16" i="53"/>
  <c r="F16" i="53"/>
  <c r="G16" i="53"/>
  <c r="H16" i="53"/>
  <c r="I16" i="53"/>
  <c r="J16" i="53"/>
  <c r="K16" i="53"/>
  <c r="L16" i="53"/>
  <c r="M16" i="53"/>
  <c r="N16" i="53"/>
  <c r="O16" i="53"/>
  <c r="P16" i="53"/>
  <c r="Q16" i="53"/>
  <c r="R16" i="53"/>
  <c r="D17" i="53"/>
  <c r="E17" i="53"/>
  <c r="F17" i="53"/>
  <c r="G17" i="53"/>
  <c r="H17" i="53"/>
  <c r="I17" i="53"/>
  <c r="J17" i="53"/>
  <c r="K17" i="53"/>
  <c r="L17" i="53"/>
  <c r="M17" i="53"/>
  <c r="N17" i="53"/>
  <c r="O17" i="53"/>
  <c r="P17" i="53"/>
  <c r="Q17" i="53"/>
  <c r="R17" i="53"/>
  <c r="D18" i="53"/>
  <c r="E18" i="53"/>
  <c r="F18" i="53"/>
  <c r="G18" i="53"/>
  <c r="H18" i="53"/>
  <c r="I18" i="53"/>
  <c r="J18" i="53"/>
  <c r="K18" i="53"/>
  <c r="L18" i="53"/>
  <c r="M18" i="53"/>
  <c r="N18" i="53"/>
  <c r="O18" i="53"/>
  <c r="P18" i="53"/>
  <c r="Q18" i="53"/>
  <c r="R18" i="53"/>
  <c r="D19" i="53"/>
  <c r="E19" i="53"/>
  <c r="F19" i="53"/>
  <c r="G19" i="53"/>
  <c r="H19" i="53"/>
  <c r="I19" i="53"/>
  <c r="J19" i="53"/>
  <c r="K19" i="53"/>
  <c r="L19" i="53"/>
  <c r="M19" i="53"/>
  <c r="N19" i="53"/>
  <c r="O19" i="53"/>
  <c r="P19" i="53"/>
  <c r="Q19" i="53"/>
  <c r="R19" i="53"/>
  <c r="D20" i="53"/>
  <c r="E20" i="53"/>
  <c r="F20" i="53"/>
  <c r="G20" i="53"/>
  <c r="H20" i="53"/>
  <c r="I20" i="53"/>
  <c r="J20" i="53"/>
  <c r="K20" i="53"/>
  <c r="L20" i="53"/>
  <c r="M20" i="53"/>
  <c r="N20" i="53"/>
  <c r="O20" i="53"/>
  <c r="P20" i="53"/>
  <c r="Q20" i="53"/>
  <c r="R20" i="53"/>
  <c r="D10" i="52"/>
  <c r="E10" i="52"/>
  <c r="F10" i="52"/>
  <c r="I10" i="52"/>
  <c r="J10" i="52"/>
  <c r="L10" i="52"/>
  <c r="M10" i="52"/>
  <c r="N10" i="52"/>
  <c r="O10" i="52"/>
  <c r="P10" i="52"/>
  <c r="Q10" i="52"/>
  <c r="R10" i="52"/>
  <c r="D11" i="52"/>
  <c r="E11" i="52"/>
  <c r="F11" i="52"/>
  <c r="G11" i="52"/>
  <c r="H11" i="52"/>
  <c r="I11" i="52"/>
  <c r="J11" i="52"/>
  <c r="K11" i="52"/>
  <c r="L11" i="52"/>
  <c r="M11" i="52"/>
  <c r="N11" i="52"/>
  <c r="O11" i="52"/>
  <c r="P11" i="52"/>
  <c r="Q11" i="52"/>
  <c r="R11" i="52"/>
  <c r="D12" i="52"/>
  <c r="E12" i="52"/>
  <c r="F12" i="52"/>
  <c r="G12" i="52"/>
  <c r="H12" i="52"/>
  <c r="I12" i="52"/>
  <c r="J12" i="52"/>
  <c r="K12" i="52"/>
  <c r="L12" i="52"/>
  <c r="M12" i="52"/>
  <c r="N12" i="52"/>
  <c r="O12" i="52"/>
  <c r="P12" i="52"/>
  <c r="Q12" i="52"/>
  <c r="R12" i="52"/>
  <c r="D13" i="52"/>
  <c r="E13" i="52"/>
  <c r="F13" i="52"/>
  <c r="G13" i="52"/>
  <c r="H13" i="52"/>
  <c r="I13" i="52"/>
  <c r="J13" i="52"/>
  <c r="K13" i="52"/>
  <c r="L13" i="52"/>
  <c r="M13" i="52"/>
  <c r="N13" i="52"/>
  <c r="O13" i="52"/>
  <c r="P13" i="52"/>
  <c r="Q13" i="52"/>
  <c r="R13" i="52"/>
  <c r="D14" i="52"/>
  <c r="E14" i="52"/>
  <c r="F14" i="52"/>
  <c r="G14" i="52"/>
  <c r="H14" i="52"/>
  <c r="I14" i="52"/>
  <c r="J14" i="52"/>
  <c r="K14" i="52"/>
  <c r="L14" i="52"/>
  <c r="M14" i="52"/>
  <c r="N14" i="52"/>
  <c r="O14" i="52"/>
  <c r="P14" i="52"/>
  <c r="Q14" i="52"/>
  <c r="R14" i="52"/>
  <c r="D15" i="52"/>
  <c r="E15" i="52"/>
  <c r="F15" i="52"/>
  <c r="G15" i="52"/>
  <c r="H15" i="52"/>
  <c r="I15" i="52"/>
  <c r="J15" i="52"/>
  <c r="K15" i="52"/>
  <c r="L15" i="52"/>
  <c r="M15" i="52"/>
  <c r="N15" i="52"/>
  <c r="O15" i="52"/>
  <c r="P15" i="52"/>
  <c r="Q15" i="52"/>
  <c r="R15" i="52"/>
  <c r="D16" i="52"/>
  <c r="E16" i="52"/>
  <c r="F16" i="52"/>
  <c r="G16" i="52"/>
  <c r="H16" i="52"/>
  <c r="I16" i="52"/>
  <c r="J16" i="52"/>
  <c r="K16" i="52"/>
  <c r="L16" i="52"/>
  <c r="M16" i="52"/>
  <c r="N16" i="52"/>
  <c r="O16" i="52"/>
  <c r="P16" i="52"/>
  <c r="Q16" i="52"/>
  <c r="R16" i="52"/>
  <c r="D17" i="52"/>
  <c r="E17" i="52"/>
  <c r="F17" i="52"/>
  <c r="G17" i="52"/>
  <c r="H17" i="52"/>
  <c r="I17" i="52"/>
  <c r="J17" i="52"/>
  <c r="K17" i="52"/>
  <c r="L17" i="52"/>
  <c r="M17" i="52"/>
  <c r="N17" i="52"/>
  <c r="O17" i="52"/>
  <c r="P17" i="52"/>
  <c r="Q17" i="52"/>
  <c r="R17" i="52"/>
  <c r="D18" i="52"/>
  <c r="E18" i="52"/>
  <c r="F18" i="52"/>
  <c r="G18" i="52"/>
  <c r="H18" i="52"/>
  <c r="I18" i="52"/>
  <c r="J18" i="52"/>
  <c r="K18" i="52"/>
  <c r="L18" i="52"/>
  <c r="M18" i="52"/>
  <c r="N18" i="52"/>
  <c r="O18" i="52"/>
  <c r="P18" i="52"/>
  <c r="Q18" i="52"/>
  <c r="R18" i="52"/>
  <c r="D19" i="52"/>
  <c r="E19" i="52"/>
  <c r="F19" i="52"/>
  <c r="G19" i="52"/>
  <c r="H19" i="52"/>
  <c r="I19" i="52"/>
  <c r="J19" i="52"/>
  <c r="K19" i="52"/>
  <c r="L19" i="52"/>
  <c r="M19" i="52"/>
  <c r="N19" i="52"/>
  <c r="O19" i="52"/>
  <c r="P19" i="52"/>
  <c r="Q19" i="52"/>
  <c r="R19" i="52"/>
  <c r="D20" i="52"/>
  <c r="E20" i="52"/>
  <c r="F20" i="52"/>
  <c r="G20" i="52"/>
  <c r="H20" i="52"/>
  <c r="I20" i="52"/>
  <c r="J20" i="52"/>
  <c r="K20" i="52"/>
  <c r="L20" i="52"/>
  <c r="M20" i="52"/>
  <c r="N20" i="52"/>
  <c r="O20" i="52"/>
  <c r="P20" i="52"/>
  <c r="Q20" i="52"/>
  <c r="R20" i="52"/>
  <c r="D10" i="51"/>
  <c r="E10" i="51"/>
  <c r="F10" i="51"/>
  <c r="I10" i="51"/>
  <c r="J10" i="51"/>
  <c r="L10" i="51"/>
  <c r="M10" i="51"/>
  <c r="N10" i="51"/>
  <c r="O10" i="51"/>
  <c r="P10" i="51"/>
  <c r="Q10" i="51"/>
  <c r="R10" i="51"/>
  <c r="D11" i="51"/>
  <c r="E11" i="51"/>
  <c r="F11" i="51"/>
  <c r="G11" i="51"/>
  <c r="H11" i="51"/>
  <c r="I11" i="51"/>
  <c r="J11" i="51"/>
  <c r="K11" i="51"/>
  <c r="L11" i="51"/>
  <c r="M11" i="51"/>
  <c r="N11" i="51"/>
  <c r="O11" i="51"/>
  <c r="P11" i="51"/>
  <c r="Q11" i="51"/>
  <c r="R11" i="51"/>
  <c r="D12" i="51"/>
  <c r="E12" i="51"/>
  <c r="F12" i="51"/>
  <c r="G12" i="51"/>
  <c r="H12" i="51"/>
  <c r="I12" i="51"/>
  <c r="J12" i="51"/>
  <c r="K12" i="51"/>
  <c r="L12" i="51"/>
  <c r="M12" i="51"/>
  <c r="N12" i="51"/>
  <c r="O12" i="51"/>
  <c r="P12" i="51"/>
  <c r="Q12" i="51"/>
  <c r="R12" i="51"/>
  <c r="D13" i="51"/>
  <c r="E13" i="51"/>
  <c r="F13" i="51"/>
  <c r="G13" i="51"/>
  <c r="H13" i="51"/>
  <c r="I13" i="51"/>
  <c r="J13" i="51"/>
  <c r="K13" i="51"/>
  <c r="L13" i="51"/>
  <c r="M13" i="51"/>
  <c r="N13" i="51"/>
  <c r="O13" i="51"/>
  <c r="P13" i="51"/>
  <c r="Q13" i="51"/>
  <c r="R13" i="51"/>
  <c r="D14" i="51"/>
  <c r="E14" i="51"/>
  <c r="F14" i="51"/>
  <c r="G14" i="51"/>
  <c r="H14" i="51"/>
  <c r="I14" i="51"/>
  <c r="J14" i="51"/>
  <c r="K14" i="51"/>
  <c r="L14" i="51"/>
  <c r="M14" i="51"/>
  <c r="N14" i="51"/>
  <c r="O14" i="51"/>
  <c r="P14" i="51"/>
  <c r="Q14" i="51"/>
  <c r="R14" i="51"/>
  <c r="D15" i="51"/>
  <c r="E15" i="51"/>
  <c r="F15" i="51"/>
  <c r="G15" i="51"/>
  <c r="H15" i="51"/>
  <c r="I15" i="51"/>
  <c r="J15" i="51"/>
  <c r="K15" i="51"/>
  <c r="L15" i="51"/>
  <c r="M15" i="51"/>
  <c r="N15" i="51"/>
  <c r="O15" i="51"/>
  <c r="P15" i="51"/>
  <c r="Q15" i="51"/>
  <c r="R15" i="51"/>
  <c r="D16" i="51"/>
  <c r="E16" i="51"/>
  <c r="F16" i="51"/>
  <c r="G16" i="51"/>
  <c r="H16" i="51"/>
  <c r="I16" i="51"/>
  <c r="J16" i="51"/>
  <c r="K16" i="51"/>
  <c r="L16" i="51"/>
  <c r="M16" i="51"/>
  <c r="N16" i="51"/>
  <c r="O16" i="51"/>
  <c r="P16" i="51"/>
  <c r="Q16" i="51"/>
  <c r="R16" i="51"/>
  <c r="D17" i="51"/>
  <c r="E17" i="51"/>
  <c r="F17" i="51"/>
  <c r="G17" i="51"/>
  <c r="H17" i="51"/>
  <c r="I17" i="51"/>
  <c r="J17" i="51"/>
  <c r="K17" i="51"/>
  <c r="L17" i="51"/>
  <c r="M17" i="51"/>
  <c r="N17" i="51"/>
  <c r="O17" i="51"/>
  <c r="P17" i="51"/>
  <c r="Q17" i="51"/>
  <c r="R17" i="51"/>
  <c r="D18" i="51"/>
  <c r="E18" i="51"/>
  <c r="F18" i="51"/>
  <c r="G18" i="51"/>
  <c r="H18" i="51"/>
  <c r="I18" i="51"/>
  <c r="J18" i="51"/>
  <c r="K18" i="51"/>
  <c r="L18" i="51"/>
  <c r="M18" i="51"/>
  <c r="N18" i="51"/>
  <c r="O18" i="51"/>
  <c r="P18" i="51"/>
  <c r="Q18" i="51"/>
  <c r="R18" i="51"/>
  <c r="D19" i="51"/>
  <c r="E19" i="51"/>
  <c r="F19" i="51"/>
  <c r="G19" i="51"/>
  <c r="H19" i="51"/>
  <c r="I19" i="51"/>
  <c r="J19" i="51"/>
  <c r="K19" i="51"/>
  <c r="L19" i="51"/>
  <c r="M19" i="51"/>
  <c r="N19" i="51"/>
  <c r="O19" i="51"/>
  <c r="P19" i="51"/>
  <c r="Q19" i="51"/>
  <c r="R19" i="51"/>
  <c r="D20" i="51"/>
  <c r="E20" i="51"/>
  <c r="F20" i="51"/>
  <c r="G20" i="51"/>
  <c r="H20" i="51"/>
  <c r="I20" i="51"/>
  <c r="J20" i="51"/>
  <c r="K20" i="51"/>
  <c r="L20" i="51"/>
  <c r="M20" i="51"/>
  <c r="N20" i="51"/>
  <c r="O20" i="51"/>
  <c r="P20" i="51"/>
  <c r="Q20" i="51"/>
  <c r="R20" i="51"/>
  <c r="D10" i="50"/>
  <c r="P11" i="74" s="1"/>
  <c r="E10" i="50"/>
  <c r="F10" i="50"/>
  <c r="I10" i="50"/>
  <c r="J10" i="50"/>
  <c r="L10" i="50"/>
  <c r="M10" i="50"/>
  <c r="N10" i="50"/>
  <c r="O10" i="50"/>
  <c r="P10" i="50"/>
  <c r="Q10" i="50"/>
  <c r="R10" i="50"/>
  <c r="S10" i="50"/>
  <c r="U10" i="53" s="1"/>
  <c r="T10" i="50"/>
  <c r="U10" i="50"/>
  <c r="W10" i="53" s="1"/>
  <c r="V10" i="50"/>
  <c r="W10" i="50"/>
  <c r="Y10" i="50"/>
  <c r="T10" i="53" s="1"/>
  <c r="U10" i="55" s="1"/>
  <c r="AC10" i="55" s="1"/>
  <c r="D11" i="50"/>
  <c r="P12" i="74" s="1"/>
  <c r="E11" i="50"/>
  <c r="F11" i="50"/>
  <c r="G11" i="50"/>
  <c r="H11" i="50"/>
  <c r="I11" i="50"/>
  <c r="J11" i="50"/>
  <c r="K11" i="50"/>
  <c r="L11" i="50"/>
  <c r="M11" i="50"/>
  <c r="N11" i="50"/>
  <c r="O11" i="50"/>
  <c r="P11" i="50"/>
  <c r="Q11" i="50"/>
  <c r="R11" i="50"/>
  <c r="S11" i="50"/>
  <c r="U11" i="53" s="1"/>
  <c r="T11" i="50"/>
  <c r="U11" i="50"/>
  <c r="W11" i="53" s="1"/>
  <c r="V11" i="50"/>
  <c r="W11" i="50"/>
  <c r="Y11" i="50"/>
  <c r="AA11" i="50" s="1"/>
  <c r="D12" i="50"/>
  <c r="P13" i="74" s="1"/>
  <c r="E12" i="50"/>
  <c r="F12" i="50"/>
  <c r="G12" i="50"/>
  <c r="H12" i="50"/>
  <c r="I12" i="50"/>
  <c r="J12" i="50"/>
  <c r="K12" i="50"/>
  <c r="L12" i="50"/>
  <c r="M12" i="50"/>
  <c r="N12" i="50"/>
  <c r="O12" i="50"/>
  <c r="P12" i="50"/>
  <c r="Q12" i="50"/>
  <c r="R12" i="50"/>
  <c r="S12" i="50"/>
  <c r="U12" i="53" s="1"/>
  <c r="T12" i="50"/>
  <c r="U12" i="50"/>
  <c r="W12" i="53" s="1"/>
  <c r="V12" i="50"/>
  <c r="W12" i="50"/>
  <c r="Y12" i="50"/>
  <c r="AA12" i="50" s="1"/>
  <c r="D13" i="50"/>
  <c r="P14" i="74" s="1"/>
  <c r="E13" i="50"/>
  <c r="F13" i="50"/>
  <c r="G13" i="50"/>
  <c r="H13" i="50"/>
  <c r="I13" i="50"/>
  <c r="J13" i="50"/>
  <c r="K13" i="50"/>
  <c r="L13" i="50"/>
  <c r="M13" i="50"/>
  <c r="N13" i="50"/>
  <c r="O13" i="50"/>
  <c r="P13" i="50"/>
  <c r="Q13" i="50"/>
  <c r="R13" i="50"/>
  <c r="S13" i="50"/>
  <c r="U13" i="53" s="1"/>
  <c r="T13" i="50"/>
  <c r="U13" i="50"/>
  <c r="W13" i="53" s="1"/>
  <c r="V13" i="50"/>
  <c r="W13" i="50"/>
  <c r="Y13" i="50"/>
  <c r="AA13" i="50" s="1"/>
  <c r="D14" i="50"/>
  <c r="P15" i="74" s="1"/>
  <c r="E14" i="50"/>
  <c r="F14" i="50"/>
  <c r="G14" i="50"/>
  <c r="H14" i="50"/>
  <c r="I14" i="50"/>
  <c r="J14" i="50"/>
  <c r="K14" i="50"/>
  <c r="L14" i="50"/>
  <c r="M14" i="50"/>
  <c r="N14" i="50"/>
  <c r="O14" i="50"/>
  <c r="P14" i="50"/>
  <c r="Q14" i="50"/>
  <c r="R14" i="50"/>
  <c r="S14" i="50"/>
  <c r="U14" i="53" s="1"/>
  <c r="T14" i="50"/>
  <c r="U14" i="50"/>
  <c r="W14" i="53" s="1"/>
  <c r="V14" i="50"/>
  <c r="W14" i="50"/>
  <c r="Y14" i="50"/>
  <c r="T14" i="53" s="1"/>
  <c r="U14" i="55" s="1"/>
  <c r="AC14" i="55" s="1"/>
  <c r="D15" i="50"/>
  <c r="P16" i="74" s="1"/>
  <c r="E15" i="50"/>
  <c r="F15" i="50"/>
  <c r="G15" i="50"/>
  <c r="H15" i="50"/>
  <c r="I15" i="50"/>
  <c r="J15" i="50"/>
  <c r="K15" i="50"/>
  <c r="L15" i="50"/>
  <c r="M15" i="50"/>
  <c r="N15" i="50"/>
  <c r="O15" i="50"/>
  <c r="P15" i="50"/>
  <c r="Q15" i="50"/>
  <c r="R15" i="50"/>
  <c r="S15" i="50"/>
  <c r="U15" i="53" s="1"/>
  <c r="T15" i="50"/>
  <c r="U15" i="50"/>
  <c r="W15" i="53" s="1"/>
  <c r="V15" i="50"/>
  <c r="W15" i="50"/>
  <c r="Y15" i="50"/>
  <c r="AA15" i="50" s="1"/>
  <c r="D16" i="50"/>
  <c r="P17" i="74" s="1"/>
  <c r="E16" i="50"/>
  <c r="F16" i="50"/>
  <c r="G16" i="50"/>
  <c r="H16" i="50"/>
  <c r="I16" i="50"/>
  <c r="J16" i="50"/>
  <c r="K16" i="50"/>
  <c r="L16" i="50"/>
  <c r="M16" i="50"/>
  <c r="N16" i="50"/>
  <c r="O16" i="50"/>
  <c r="P16" i="50"/>
  <c r="Q16" i="50"/>
  <c r="R16" i="50"/>
  <c r="S16" i="50"/>
  <c r="U16" i="53" s="1"/>
  <c r="T16" i="50"/>
  <c r="U16" i="50"/>
  <c r="W16" i="53" s="1"/>
  <c r="V16" i="50"/>
  <c r="W16" i="50"/>
  <c r="Y16" i="50"/>
  <c r="AA16" i="50" s="1"/>
  <c r="D17" i="50"/>
  <c r="E17" i="50"/>
  <c r="F17" i="50"/>
  <c r="G17" i="50"/>
  <c r="H17" i="50"/>
  <c r="I17" i="50"/>
  <c r="J17" i="50"/>
  <c r="K17" i="50"/>
  <c r="L17" i="50"/>
  <c r="M17" i="50"/>
  <c r="N17" i="50"/>
  <c r="O17" i="50"/>
  <c r="P17" i="50"/>
  <c r="Q17" i="50"/>
  <c r="R17" i="50"/>
  <c r="S17" i="50"/>
  <c r="U17" i="53" s="1"/>
  <c r="T17" i="50"/>
  <c r="U17" i="50"/>
  <c r="W17" i="53" s="1"/>
  <c r="V17" i="50"/>
  <c r="W17" i="50"/>
  <c r="Y17" i="50"/>
  <c r="AA17" i="50" s="1"/>
  <c r="D18" i="50"/>
  <c r="E18" i="50"/>
  <c r="F18" i="50"/>
  <c r="G18" i="50"/>
  <c r="H18" i="50"/>
  <c r="I18" i="50"/>
  <c r="J18" i="50"/>
  <c r="K18" i="50"/>
  <c r="L18" i="50"/>
  <c r="M18" i="50"/>
  <c r="N18" i="50"/>
  <c r="O18" i="50"/>
  <c r="P18" i="50"/>
  <c r="Q18" i="50"/>
  <c r="R18" i="50"/>
  <c r="S18" i="50"/>
  <c r="U18" i="53" s="1"/>
  <c r="T18" i="50"/>
  <c r="U18" i="50"/>
  <c r="W18" i="53" s="1"/>
  <c r="V18" i="50"/>
  <c r="W18" i="50"/>
  <c r="Y18" i="50"/>
  <c r="AA18" i="50" s="1"/>
  <c r="D19" i="50"/>
  <c r="E19" i="50"/>
  <c r="F19" i="50"/>
  <c r="G19" i="50"/>
  <c r="H19" i="50"/>
  <c r="I19" i="50"/>
  <c r="J19" i="50"/>
  <c r="K19" i="50"/>
  <c r="L19" i="50"/>
  <c r="M19" i="50"/>
  <c r="N19" i="50"/>
  <c r="O19" i="50"/>
  <c r="P19" i="50"/>
  <c r="Q19" i="50"/>
  <c r="R19" i="50"/>
  <c r="S19" i="50"/>
  <c r="U19" i="53" s="1"/>
  <c r="T19" i="50"/>
  <c r="U19" i="50"/>
  <c r="W19" i="53" s="1"/>
  <c r="V19" i="50"/>
  <c r="W19" i="50"/>
  <c r="Y19" i="50"/>
  <c r="T19" i="53" s="1"/>
  <c r="U19" i="55" s="1"/>
  <c r="AC19" i="55" s="1"/>
  <c r="D20" i="50"/>
  <c r="E20" i="50"/>
  <c r="F20" i="50"/>
  <c r="G20" i="50"/>
  <c r="H20" i="50"/>
  <c r="I20" i="50"/>
  <c r="J20" i="50"/>
  <c r="K20" i="50"/>
  <c r="L20" i="50"/>
  <c r="M20" i="50"/>
  <c r="N20" i="50"/>
  <c r="O20" i="50"/>
  <c r="P20" i="50"/>
  <c r="Q20" i="50"/>
  <c r="R20" i="50"/>
  <c r="S20" i="50"/>
  <c r="U20" i="53" s="1"/>
  <c r="T20" i="50"/>
  <c r="U20" i="50"/>
  <c r="W20" i="53" s="1"/>
  <c r="V20" i="50"/>
  <c r="W20" i="50"/>
  <c r="Y20" i="50"/>
  <c r="T20" i="54" s="1"/>
  <c r="AB3" i="58"/>
  <c r="AB4" i="58"/>
  <c r="AB5" i="58"/>
  <c r="AB6" i="58"/>
  <c r="AB7" i="58"/>
  <c r="AB2" i="58"/>
  <c r="W3" i="58"/>
  <c r="X3" i="58"/>
  <c r="Y3" i="58"/>
  <c r="W4" i="58"/>
  <c r="X4" i="58"/>
  <c r="Y4" i="58"/>
  <c r="W5" i="58"/>
  <c r="X5" i="58"/>
  <c r="Y5" i="58"/>
  <c r="W6" i="58"/>
  <c r="X6" i="58"/>
  <c r="Y6" i="58"/>
  <c r="W7" i="58"/>
  <c r="X7" i="58"/>
  <c r="Y7" i="58"/>
  <c r="Y2" i="58"/>
  <c r="X2" i="58"/>
  <c r="W2" i="58"/>
  <c r="AA3" i="57"/>
  <c r="AA4" i="57"/>
  <c r="AA5" i="57"/>
  <c r="AA6" i="57"/>
  <c r="AA7" i="57"/>
  <c r="AA2" i="57"/>
  <c r="W3" i="57"/>
  <c r="W4" i="57"/>
  <c r="W5" i="57"/>
  <c r="W6" i="57"/>
  <c r="W7" i="57"/>
  <c r="W2" i="57"/>
  <c r="U3" i="57"/>
  <c r="U4" i="57"/>
  <c r="U5" i="57"/>
  <c r="U6" i="57"/>
  <c r="U7" i="57"/>
  <c r="U2" i="57"/>
  <c r="B3" i="57"/>
  <c r="B4" i="57"/>
  <c r="B5" i="57"/>
  <c r="B6" i="57"/>
  <c r="AA6" i="58" s="1"/>
  <c r="B7" i="57"/>
  <c r="B2" i="57"/>
  <c r="AA2" i="58" s="1"/>
  <c r="AB3" i="55"/>
  <c r="AB4" i="55"/>
  <c r="AB5" i="55"/>
  <c r="AB6" i="55"/>
  <c r="AB7" i="55"/>
  <c r="AB8" i="55"/>
  <c r="AB9" i="55"/>
  <c r="AB2" i="55"/>
  <c r="Z2" i="58" s="1"/>
  <c r="Z3" i="58" s="1"/>
  <c r="Z4" i="58" s="1"/>
  <c r="Z5" i="58" s="1"/>
  <c r="Z6" i="58" s="1"/>
  <c r="Z7" i="58" s="1"/>
  <c r="Z8" i="58" s="1"/>
  <c r="Y3" i="55"/>
  <c r="Z3" i="55"/>
  <c r="AA3" i="55"/>
  <c r="Y4" i="55"/>
  <c r="Z4" i="55"/>
  <c r="AA4" i="55"/>
  <c r="Y5" i="55"/>
  <c r="Z5" i="55"/>
  <c r="AA5" i="55"/>
  <c r="Y6" i="55"/>
  <c r="Z6" i="55"/>
  <c r="AA6" i="55"/>
  <c r="Y7" i="55"/>
  <c r="Z7" i="55"/>
  <c r="AA7" i="55"/>
  <c r="Y8" i="55"/>
  <c r="Z8" i="55"/>
  <c r="AA8" i="55"/>
  <c r="Y9" i="55"/>
  <c r="Z9" i="55"/>
  <c r="AA9" i="55"/>
  <c r="AA2" i="55"/>
  <c r="Z2" i="55"/>
  <c r="Y2" i="55"/>
  <c r="AD8" i="54"/>
  <c r="AD9" i="54"/>
  <c r="AD3" i="54"/>
  <c r="AD4" i="54"/>
  <c r="AD5" i="54"/>
  <c r="AD6" i="54"/>
  <c r="AD7" i="54"/>
  <c r="AD2" i="54"/>
  <c r="AN3" i="50"/>
  <c r="AN4" i="50"/>
  <c r="AN5" i="50"/>
  <c r="AN6" i="50"/>
  <c r="AN7" i="50"/>
  <c r="AN2" i="50"/>
  <c r="Y3" i="50"/>
  <c r="Y4" i="50"/>
  <c r="Y5" i="50"/>
  <c r="Y6" i="50"/>
  <c r="Y7" i="50"/>
  <c r="Y8" i="50"/>
  <c r="Y9" i="50"/>
  <c r="Y2" i="50"/>
  <c r="W3" i="50"/>
  <c r="W4" i="50"/>
  <c r="W5" i="50"/>
  <c r="W6" i="50"/>
  <c r="W7" i="50"/>
  <c r="W8" i="50"/>
  <c r="W9" i="50"/>
  <c r="W2" i="50"/>
  <c r="S3" i="50"/>
  <c r="T3" i="50"/>
  <c r="U3" i="50"/>
  <c r="V3" i="50"/>
  <c r="S4" i="50"/>
  <c r="T4" i="50"/>
  <c r="U4" i="50"/>
  <c r="V4" i="50"/>
  <c r="S5" i="50"/>
  <c r="T5" i="50"/>
  <c r="U5" i="50"/>
  <c r="V5" i="50"/>
  <c r="S6" i="50"/>
  <c r="T6" i="50"/>
  <c r="U6" i="50"/>
  <c r="V6" i="50"/>
  <c r="S7" i="50"/>
  <c r="T7" i="50"/>
  <c r="U7" i="50"/>
  <c r="V7" i="50"/>
  <c r="S8" i="50"/>
  <c r="T8" i="50"/>
  <c r="U8" i="50"/>
  <c r="V8" i="50"/>
  <c r="S9" i="50"/>
  <c r="T9" i="50"/>
  <c r="U9" i="50"/>
  <c r="V9" i="50"/>
  <c r="V2" i="50"/>
  <c r="U2" i="50"/>
  <c r="T2" i="50"/>
  <c r="S2" i="50"/>
  <c r="X8" i="57" l="1"/>
  <c r="AC8" i="57" s="1"/>
  <c r="AE9" i="57"/>
  <c r="Y10" i="57"/>
  <c r="AC20" i="50"/>
  <c r="AM20" i="50" s="1"/>
  <c r="AB20" i="53" s="1"/>
  <c r="AC14" i="50"/>
  <c r="AM14" i="50" s="1"/>
  <c r="AB14" i="53" s="1"/>
  <c r="AA20" i="50"/>
  <c r="AK20" i="50" s="1"/>
  <c r="Z20" i="53" s="1"/>
  <c r="AC10" i="50"/>
  <c r="AM10" i="50" s="1"/>
  <c r="AB10" i="53" s="1"/>
  <c r="AC18" i="50"/>
  <c r="AA14" i="50"/>
  <c r="AC13" i="50"/>
  <c r="AM13" i="50" s="1"/>
  <c r="AB13" i="53" s="1"/>
  <c r="AC12" i="50"/>
  <c r="AM12" i="50" s="1"/>
  <c r="AB12" i="53" s="1"/>
  <c r="AA10" i="50"/>
  <c r="AK10" i="50" s="1"/>
  <c r="Z10" i="53" s="1"/>
  <c r="AC17" i="50"/>
  <c r="AM17" i="50" s="1"/>
  <c r="AB17" i="53" s="1"/>
  <c r="AC16" i="50"/>
  <c r="AC15" i="50"/>
  <c r="AM15" i="50" s="1"/>
  <c r="AB15" i="53" s="1"/>
  <c r="AC11" i="50"/>
  <c r="Z9" i="57"/>
  <c r="AD9" i="57" s="1"/>
  <c r="X9" i="57"/>
  <c r="AC9" i="57" s="1"/>
  <c r="AB20" i="50"/>
  <c r="AL20" i="50" s="1"/>
  <c r="AA20" i="53" s="1"/>
  <c r="Z20" i="50"/>
  <c r="W20" i="54"/>
  <c r="X20" i="54" s="1"/>
  <c r="AC19" i="50"/>
  <c r="AM19" i="50" s="1"/>
  <c r="AB19" i="53" s="1"/>
  <c r="W19" i="54"/>
  <c r="X19" i="54" s="1"/>
  <c r="Z18" i="50"/>
  <c r="AJ18" i="50" s="1"/>
  <c r="Y18" i="53" s="1"/>
  <c r="T18" i="54"/>
  <c r="AB18" i="54" s="1"/>
  <c r="W17" i="54"/>
  <c r="X17" i="54" s="1"/>
  <c r="AK17" i="50"/>
  <c r="Z17" i="53" s="1"/>
  <c r="Z16" i="50"/>
  <c r="AJ16" i="50" s="1"/>
  <c r="Y16" i="53" s="1"/>
  <c r="T16" i="54"/>
  <c r="T16" i="53"/>
  <c r="U16" i="55" s="1"/>
  <c r="AC16" i="55" s="1"/>
  <c r="V16" i="55" s="1"/>
  <c r="W15" i="54"/>
  <c r="X15" i="54" s="1"/>
  <c r="AK15" i="50"/>
  <c r="Z15" i="53" s="1"/>
  <c r="Z14" i="50"/>
  <c r="AJ14" i="50" s="1"/>
  <c r="Y14" i="53" s="1"/>
  <c r="T14" i="54"/>
  <c r="AB14" i="54" s="1"/>
  <c r="W13" i="54"/>
  <c r="X13" i="54" s="1"/>
  <c r="AK13" i="50"/>
  <c r="Z13" i="53" s="1"/>
  <c r="Z12" i="50"/>
  <c r="T12" i="53"/>
  <c r="U12" i="55" s="1"/>
  <c r="AC12" i="55" s="1"/>
  <c r="V12" i="55" s="1"/>
  <c r="T12" i="54"/>
  <c r="W11" i="54"/>
  <c r="X11" i="54" s="1"/>
  <c r="AK11" i="50"/>
  <c r="Z11" i="53" s="1"/>
  <c r="AM11" i="50"/>
  <c r="AB11" i="53" s="1"/>
  <c r="Z10" i="50"/>
  <c r="AJ10" i="50" s="1"/>
  <c r="Y10" i="53" s="1"/>
  <c r="T10" i="54"/>
  <c r="T18" i="53"/>
  <c r="U18" i="55" s="1"/>
  <c r="AC18" i="55" s="1"/>
  <c r="W18" i="55" s="1"/>
  <c r="Z9" i="58"/>
  <c r="V9" i="58" s="1"/>
  <c r="Z20" i="54"/>
  <c r="AC20" i="54"/>
  <c r="AA20" i="54"/>
  <c r="Z19" i="50"/>
  <c r="AJ19" i="50" s="1"/>
  <c r="Y19" i="53" s="1"/>
  <c r="T19" i="54"/>
  <c r="W18" i="54"/>
  <c r="X18" i="54" s="1"/>
  <c r="AK18" i="50"/>
  <c r="Z18" i="53" s="1"/>
  <c r="AM18" i="50"/>
  <c r="AB18" i="53" s="1"/>
  <c r="Z17" i="50"/>
  <c r="AJ17" i="50" s="1"/>
  <c r="Y17" i="53" s="1"/>
  <c r="T17" i="54"/>
  <c r="W16" i="54"/>
  <c r="X16" i="54" s="1"/>
  <c r="AK16" i="50"/>
  <c r="Z16" i="53" s="1"/>
  <c r="Z15" i="50"/>
  <c r="AJ15" i="50" s="1"/>
  <c r="Y15" i="53" s="1"/>
  <c r="T15" i="54"/>
  <c r="W14" i="54"/>
  <c r="X14" i="54" s="1"/>
  <c r="AK14" i="50"/>
  <c r="Z14" i="53" s="1"/>
  <c r="Z13" i="50"/>
  <c r="AJ13" i="50" s="1"/>
  <c r="Y13" i="53" s="1"/>
  <c r="T13" i="53"/>
  <c r="U13" i="55" s="1"/>
  <c r="AC13" i="55" s="1"/>
  <c r="V13" i="55" s="1"/>
  <c r="T13" i="54"/>
  <c r="W12" i="54"/>
  <c r="X12" i="54" s="1"/>
  <c r="AK12" i="50"/>
  <c r="Z12" i="53" s="1"/>
  <c r="AJ12" i="50"/>
  <c r="Y12" i="53" s="1"/>
  <c r="Z11" i="50"/>
  <c r="AJ11" i="50" s="1"/>
  <c r="Y11" i="53" s="1"/>
  <c r="T11" i="54"/>
  <c r="W10" i="54"/>
  <c r="X10" i="54" s="1"/>
  <c r="T20" i="53"/>
  <c r="U20" i="55" s="1"/>
  <c r="AC20" i="55" s="1"/>
  <c r="W20" i="55" s="1"/>
  <c r="T17" i="53"/>
  <c r="U17" i="55" s="1"/>
  <c r="AC17" i="55" s="1"/>
  <c r="X17" i="55" s="1"/>
  <c r="T15" i="53"/>
  <c r="U15" i="55" s="1"/>
  <c r="AC15" i="55" s="1"/>
  <c r="V15" i="55" s="1"/>
  <c r="T11" i="53"/>
  <c r="U11" i="55" s="1"/>
  <c r="AC11" i="55" s="1"/>
  <c r="V11" i="55" s="1"/>
  <c r="AJ20" i="50"/>
  <c r="Y20" i="53" s="1"/>
  <c r="AM16" i="50"/>
  <c r="AB16" i="53" s="1"/>
  <c r="V18" i="55"/>
  <c r="AA10" i="58"/>
  <c r="AA8" i="58"/>
  <c r="U8" i="58" s="1"/>
  <c r="AE10" i="57"/>
  <c r="Z8" i="57"/>
  <c r="X10" i="57"/>
  <c r="W19" i="55"/>
  <c r="X19" i="55"/>
  <c r="V19" i="55"/>
  <c r="W16" i="55"/>
  <c r="V14" i="55"/>
  <c r="W14" i="55"/>
  <c r="W12" i="55"/>
  <c r="V10" i="55"/>
  <c r="W10" i="55"/>
  <c r="X14" i="55"/>
  <c r="X10" i="55"/>
  <c r="AB20" i="54"/>
  <c r="AB16" i="54"/>
  <c r="AA19" i="50"/>
  <c r="AK19" i="50" s="1"/>
  <c r="Z19" i="53" s="1"/>
  <c r="AB17" i="50"/>
  <c r="AL17" i="50" s="1"/>
  <c r="AA17" i="53" s="1"/>
  <c r="AB15" i="50"/>
  <c r="AL15" i="50" s="1"/>
  <c r="AA15" i="53" s="1"/>
  <c r="AB13" i="50"/>
  <c r="AL13" i="50" s="1"/>
  <c r="AA13" i="53" s="1"/>
  <c r="AB11" i="50"/>
  <c r="AL11" i="50" s="1"/>
  <c r="AA11" i="53" s="1"/>
  <c r="AB18" i="50"/>
  <c r="AL18" i="50" s="1"/>
  <c r="AA18" i="53" s="1"/>
  <c r="AB16" i="50"/>
  <c r="AL16" i="50" s="1"/>
  <c r="AA16" i="53" s="1"/>
  <c r="AB14" i="50"/>
  <c r="AL14" i="50" s="1"/>
  <c r="AA14" i="53" s="1"/>
  <c r="AB12" i="50"/>
  <c r="AL12" i="50" s="1"/>
  <c r="AA12" i="53" s="1"/>
  <c r="AB10" i="50"/>
  <c r="AL10" i="50" s="1"/>
  <c r="AA10" i="53" s="1"/>
  <c r="AB19" i="50"/>
  <c r="AL19" i="50" s="1"/>
  <c r="AA19" i="53" s="1"/>
  <c r="AC3" i="58"/>
  <c r="AC4" i="58"/>
  <c r="AC5" i="58"/>
  <c r="AC6" i="58"/>
  <c r="AC7" i="58"/>
  <c r="AC2" i="58"/>
  <c r="AA3" i="58"/>
  <c r="AA4" i="58"/>
  <c r="AA5" i="58"/>
  <c r="AA7" i="58"/>
  <c r="Q50" i="49"/>
  <c r="R50" i="49"/>
  <c r="Q51" i="49"/>
  <c r="R51" i="49"/>
  <c r="Q52" i="49"/>
  <c r="R52" i="49"/>
  <c r="Q53" i="49"/>
  <c r="R53" i="49"/>
  <c r="Q54" i="49"/>
  <c r="R54" i="49"/>
  <c r="Q55" i="49"/>
  <c r="R55" i="49"/>
  <c r="Q56" i="49"/>
  <c r="R56" i="49"/>
  <c r="Q57" i="49"/>
  <c r="R57" i="49"/>
  <c r="Q58" i="49"/>
  <c r="R58" i="49"/>
  <c r="Q59" i="49"/>
  <c r="R59" i="49"/>
  <c r="Q60" i="49"/>
  <c r="R60" i="49"/>
  <c r="Q61" i="49"/>
  <c r="R61" i="49"/>
  <c r="Q62" i="49"/>
  <c r="R62" i="49"/>
  <c r="Q63" i="49"/>
  <c r="R63" i="49"/>
  <c r="Q64" i="49"/>
  <c r="R64" i="49"/>
  <c r="Q65" i="49"/>
  <c r="R65" i="49"/>
  <c r="Q66" i="49"/>
  <c r="R66" i="49"/>
  <c r="Q67" i="49"/>
  <c r="R67" i="49"/>
  <c r="Q68" i="49"/>
  <c r="R68" i="49"/>
  <c r="Q69" i="49"/>
  <c r="R69" i="49"/>
  <c r="Q70" i="49"/>
  <c r="R70" i="49"/>
  <c r="Q71" i="49"/>
  <c r="R71" i="49"/>
  <c r="Q72" i="49"/>
  <c r="R72" i="49"/>
  <c r="Q73" i="49"/>
  <c r="R73" i="49"/>
  <c r="Q74" i="49"/>
  <c r="R74" i="49"/>
  <c r="Q75" i="49"/>
  <c r="R75" i="49"/>
  <c r="Q76" i="49"/>
  <c r="R76" i="49"/>
  <c r="Q77" i="49"/>
  <c r="R77" i="49"/>
  <c r="Q78" i="49"/>
  <c r="R78" i="49"/>
  <c r="Q79" i="49"/>
  <c r="R79" i="49"/>
  <c r="Q80" i="49"/>
  <c r="R80" i="49"/>
  <c r="Q81" i="49"/>
  <c r="R81" i="49"/>
  <c r="Q82" i="49"/>
  <c r="R82" i="49"/>
  <c r="Q83" i="49"/>
  <c r="R83" i="49"/>
  <c r="Q84" i="49"/>
  <c r="R84" i="49"/>
  <c r="Q85" i="49"/>
  <c r="R85" i="49"/>
  <c r="Q86" i="49"/>
  <c r="R86" i="49"/>
  <c r="Q87" i="49"/>
  <c r="R87" i="49"/>
  <c r="Q88" i="49"/>
  <c r="R88" i="49"/>
  <c r="Q89" i="49"/>
  <c r="R89" i="49"/>
  <c r="Q90" i="49"/>
  <c r="R90" i="49"/>
  <c r="Q91" i="49"/>
  <c r="R91" i="49"/>
  <c r="Q92" i="49"/>
  <c r="R92" i="49"/>
  <c r="Q93" i="49"/>
  <c r="R93" i="49"/>
  <c r="Q94" i="49"/>
  <c r="R94" i="49"/>
  <c r="Q95" i="49"/>
  <c r="R95" i="49"/>
  <c r="Q96" i="49"/>
  <c r="R96" i="49"/>
  <c r="Q97" i="49"/>
  <c r="R97" i="49"/>
  <c r="Q98" i="49"/>
  <c r="R98" i="49"/>
  <c r="Q99" i="49"/>
  <c r="R99" i="49"/>
  <c r="Q100" i="49"/>
  <c r="R100" i="49"/>
  <c r="Q101" i="49"/>
  <c r="R101" i="49"/>
  <c r="Q102" i="49"/>
  <c r="R102" i="49"/>
  <c r="Q103" i="49"/>
  <c r="R103" i="49"/>
  <c r="Q104" i="49"/>
  <c r="R104" i="49"/>
  <c r="Q105" i="49"/>
  <c r="R105" i="49"/>
  <c r="Q106" i="49"/>
  <c r="R106" i="49"/>
  <c r="Q107" i="49"/>
  <c r="R107" i="49"/>
  <c r="Q108" i="49"/>
  <c r="R108" i="49"/>
  <c r="Q109" i="49"/>
  <c r="R109" i="49"/>
  <c r="Q110" i="49"/>
  <c r="R110" i="49"/>
  <c r="Q111" i="49"/>
  <c r="R111" i="49"/>
  <c r="Q112" i="49"/>
  <c r="R112" i="49"/>
  <c r="Q113" i="49"/>
  <c r="R113" i="49"/>
  <c r="Q114" i="49"/>
  <c r="R114" i="49"/>
  <c r="Q115" i="49"/>
  <c r="R115" i="49"/>
  <c r="Q116" i="49"/>
  <c r="R116" i="49"/>
  <c r="Q117" i="49"/>
  <c r="R117" i="49"/>
  <c r="Q118" i="49"/>
  <c r="R118" i="49"/>
  <c r="Q119" i="49"/>
  <c r="R119" i="49"/>
  <c r="Q120" i="49"/>
  <c r="R120" i="49"/>
  <c r="Q121" i="49"/>
  <c r="R121" i="49"/>
  <c r="Q122" i="49"/>
  <c r="R122" i="49"/>
  <c r="Q123" i="49"/>
  <c r="R123" i="49"/>
  <c r="Q124" i="49"/>
  <c r="R124" i="49"/>
  <c r="Q125" i="49"/>
  <c r="R125" i="49"/>
  <c r="Q126" i="49"/>
  <c r="R126" i="49"/>
  <c r="Q127" i="49"/>
  <c r="R127" i="49"/>
  <c r="Q128" i="49"/>
  <c r="R128" i="49"/>
  <c r="Q129" i="49"/>
  <c r="R129" i="49"/>
  <c r="Q130" i="49"/>
  <c r="R130" i="49"/>
  <c r="Q131" i="49"/>
  <c r="R131" i="49"/>
  <c r="Q132" i="49"/>
  <c r="R132" i="49"/>
  <c r="Q133" i="49"/>
  <c r="R133" i="49"/>
  <c r="Q134" i="49"/>
  <c r="R134" i="49"/>
  <c r="Q135" i="49"/>
  <c r="R135" i="49"/>
  <c r="Q136" i="49"/>
  <c r="R136" i="49"/>
  <c r="Q137" i="49"/>
  <c r="R137" i="49"/>
  <c r="Q138" i="49"/>
  <c r="R138" i="49"/>
  <c r="E139" i="49"/>
  <c r="H139" i="49"/>
  <c r="J139" i="49"/>
  <c r="N139" i="49"/>
  <c r="L139" i="49" s="1"/>
  <c r="Q139" i="49"/>
  <c r="R139" i="49"/>
  <c r="X139" i="49"/>
  <c r="E140" i="49"/>
  <c r="H140" i="49"/>
  <c r="J140" i="49"/>
  <c r="N140" i="49"/>
  <c r="L140" i="49" s="1"/>
  <c r="Q140" i="49"/>
  <c r="R140" i="49"/>
  <c r="X140" i="49"/>
  <c r="E141" i="49"/>
  <c r="H141" i="49"/>
  <c r="J141" i="49"/>
  <c r="N141" i="49"/>
  <c r="L141" i="49" s="1"/>
  <c r="Q141" i="49"/>
  <c r="R141" i="49"/>
  <c r="X141" i="49"/>
  <c r="E142" i="49"/>
  <c r="H142" i="49"/>
  <c r="J142" i="49"/>
  <c r="N142" i="49"/>
  <c r="L142" i="49" s="1"/>
  <c r="Q142" i="49"/>
  <c r="R142" i="49"/>
  <c r="X142" i="49"/>
  <c r="E143" i="49"/>
  <c r="H143" i="49"/>
  <c r="J143" i="49"/>
  <c r="N143" i="49"/>
  <c r="L143" i="49" s="1"/>
  <c r="Q143" i="49"/>
  <c r="R143" i="49"/>
  <c r="X143" i="49"/>
  <c r="E144" i="49"/>
  <c r="H144" i="49"/>
  <c r="J144" i="49"/>
  <c r="N144" i="49"/>
  <c r="L144" i="49" s="1"/>
  <c r="Q144" i="49"/>
  <c r="R144" i="49"/>
  <c r="X144" i="49"/>
  <c r="E145" i="49"/>
  <c r="H145" i="49"/>
  <c r="J145" i="49"/>
  <c r="N145" i="49"/>
  <c r="L145" i="49" s="1"/>
  <c r="Q145" i="49"/>
  <c r="R145" i="49"/>
  <c r="X145" i="49"/>
  <c r="E146" i="49"/>
  <c r="H146" i="49"/>
  <c r="J146" i="49"/>
  <c r="N146" i="49"/>
  <c r="L146" i="49" s="1"/>
  <c r="Q146" i="49"/>
  <c r="R146" i="49"/>
  <c r="X146" i="49"/>
  <c r="E147" i="49"/>
  <c r="H147" i="49"/>
  <c r="J147" i="49"/>
  <c r="N147" i="49"/>
  <c r="L147" i="49" s="1"/>
  <c r="Q147" i="49"/>
  <c r="R147" i="49"/>
  <c r="X147" i="49"/>
  <c r="E148" i="49"/>
  <c r="H148" i="49"/>
  <c r="J148" i="49"/>
  <c r="N148" i="49"/>
  <c r="L148" i="49" s="1"/>
  <c r="Q148" i="49"/>
  <c r="R148" i="49"/>
  <c r="X148" i="49"/>
  <c r="E149" i="49"/>
  <c r="H149" i="49"/>
  <c r="J149" i="49"/>
  <c r="N149" i="49"/>
  <c r="L149" i="49" s="1"/>
  <c r="Q149" i="49"/>
  <c r="R149" i="49"/>
  <c r="X149" i="49"/>
  <c r="E150" i="49"/>
  <c r="H150" i="49"/>
  <c r="J150" i="49"/>
  <c r="N150" i="49"/>
  <c r="L150" i="49" s="1"/>
  <c r="Q150" i="49"/>
  <c r="R150" i="49"/>
  <c r="X150" i="49"/>
  <c r="E151" i="49"/>
  <c r="H151" i="49"/>
  <c r="J151" i="49"/>
  <c r="N151" i="49"/>
  <c r="L151" i="49" s="1"/>
  <c r="Q151" i="49"/>
  <c r="R151" i="49"/>
  <c r="X151" i="49"/>
  <c r="E152" i="49"/>
  <c r="H152" i="49"/>
  <c r="J152" i="49"/>
  <c r="N152" i="49"/>
  <c r="M152" i="49" s="1"/>
  <c r="Q152" i="49"/>
  <c r="R152" i="49"/>
  <c r="X152" i="49"/>
  <c r="E153" i="49"/>
  <c r="H153" i="49"/>
  <c r="J153" i="49"/>
  <c r="N153" i="49"/>
  <c r="L153" i="49" s="1"/>
  <c r="Q153" i="49"/>
  <c r="R153" i="49"/>
  <c r="X153" i="49"/>
  <c r="E154" i="49"/>
  <c r="H154" i="49"/>
  <c r="J154" i="49"/>
  <c r="N154" i="49"/>
  <c r="M154" i="49" s="1"/>
  <c r="Q154" i="49"/>
  <c r="R154" i="49"/>
  <c r="X154" i="49"/>
  <c r="E155" i="49"/>
  <c r="H155" i="49"/>
  <c r="J155" i="49"/>
  <c r="N155" i="49"/>
  <c r="L155" i="49" s="1"/>
  <c r="Q155" i="49"/>
  <c r="R155" i="49"/>
  <c r="X155" i="49"/>
  <c r="E156" i="49"/>
  <c r="H156" i="49"/>
  <c r="J156" i="49"/>
  <c r="N156" i="49"/>
  <c r="M156" i="49" s="1"/>
  <c r="Q156" i="49"/>
  <c r="R156" i="49"/>
  <c r="X156" i="49"/>
  <c r="E157" i="49"/>
  <c r="H157" i="49"/>
  <c r="J157" i="49"/>
  <c r="N157" i="49"/>
  <c r="L157" i="49" s="1"/>
  <c r="Q157" i="49"/>
  <c r="R157" i="49"/>
  <c r="X157" i="49"/>
  <c r="E158" i="49"/>
  <c r="H158" i="49"/>
  <c r="J158" i="49"/>
  <c r="N158" i="49"/>
  <c r="M158" i="49" s="1"/>
  <c r="Q158" i="49"/>
  <c r="R158" i="49"/>
  <c r="X158" i="49"/>
  <c r="E159" i="49"/>
  <c r="H159" i="49"/>
  <c r="J159" i="49"/>
  <c r="N159" i="49"/>
  <c r="L159" i="49" s="1"/>
  <c r="Q159" i="49"/>
  <c r="R159" i="49"/>
  <c r="X159" i="49"/>
  <c r="E160" i="49"/>
  <c r="H160" i="49"/>
  <c r="J160" i="49"/>
  <c r="N160" i="49"/>
  <c r="M160" i="49" s="1"/>
  <c r="Q160" i="49"/>
  <c r="R160" i="49"/>
  <c r="X160" i="49"/>
  <c r="E161" i="49"/>
  <c r="H161" i="49"/>
  <c r="J161" i="49"/>
  <c r="N161" i="49"/>
  <c r="L161" i="49" s="1"/>
  <c r="Q161" i="49"/>
  <c r="R161" i="49"/>
  <c r="X161" i="49"/>
  <c r="E162" i="49"/>
  <c r="H162" i="49"/>
  <c r="J162" i="49"/>
  <c r="N162" i="49"/>
  <c r="M162" i="49" s="1"/>
  <c r="Q162" i="49"/>
  <c r="R162" i="49"/>
  <c r="X162" i="49"/>
  <c r="E163" i="49"/>
  <c r="H163" i="49"/>
  <c r="J163" i="49"/>
  <c r="N163" i="49"/>
  <c r="L163" i="49" s="1"/>
  <c r="Q163" i="49"/>
  <c r="R163" i="49"/>
  <c r="X163" i="49"/>
  <c r="E164" i="49"/>
  <c r="H164" i="49"/>
  <c r="J164" i="49"/>
  <c r="N164" i="49"/>
  <c r="M164" i="49" s="1"/>
  <c r="Q164" i="49"/>
  <c r="R164" i="49"/>
  <c r="X164" i="49"/>
  <c r="E165" i="49"/>
  <c r="H165" i="49"/>
  <c r="J165" i="49"/>
  <c r="N165" i="49"/>
  <c r="L165" i="49" s="1"/>
  <c r="Q165" i="49"/>
  <c r="R165" i="49"/>
  <c r="X165" i="49"/>
  <c r="E166" i="49"/>
  <c r="H166" i="49"/>
  <c r="J166" i="49"/>
  <c r="N166" i="49"/>
  <c r="M166" i="49" s="1"/>
  <c r="Q166" i="49"/>
  <c r="R166" i="49"/>
  <c r="X166" i="49"/>
  <c r="E167" i="49"/>
  <c r="H167" i="49"/>
  <c r="J167" i="49"/>
  <c r="N167" i="49"/>
  <c r="L167" i="49" s="1"/>
  <c r="Q167" i="49"/>
  <c r="R167" i="49"/>
  <c r="X167" i="49"/>
  <c r="E168" i="49"/>
  <c r="H168" i="49"/>
  <c r="J168" i="49"/>
  <c r="N168" i="49"/>
  <c r="M168" i="49" s="1"/>
  <c r="Q168" i="49"/>
  <c r="R168" i="49"/>
  <c r="X168" i="49"/>
  <c r="E169" i="49"/>
  <c r="H169" i="49"/>
  <c r="J169" i="49"/>
  <c r="N169" i="49"/>
  <c r="L169" i="49" s="1"/>
  <c r="Q169" i="49"/>
  <c r="R169" i="49"/>
  <c r="X169" i="49"/>
  <c r="E170" i="49"/>
  <c r="H170" i="49"/>
  <c r="J170" i="49"/>
  <c r="N170" i="49"/>
  <c r="M170" i="49" s="1"/>
  <c r="Q170" i="49"/>
  <c r="R170" i="49"/>
  <c r="X170" i="49"/>
  <c r="E171" i="49"/>
  <c r="H171" i="49"/>
  <c r="J171" i="49"/>
  <c r="N171" i="49"/>
  <c r="L171" i="49" s="1"/>
  <c r="Q171" i="49"/>
  <c r="R171" i="49"/>
  <c r="X171" i="49"/>
  <c r="E172" i="49"/>
  <c r="H172" i="49"/>
  <c r="J172" i="49"/>
  <c r="N172" i="49"/>
  <c r="M172" i="49" s="1"/>
  <c r="Q172" i="49"/>
  <c r="R172" i="49"/>
  <c r="X172" i="49"/>
  <c r="E173" i="49"/>
  <c r="H173" i="49"/>
  <c r="J173" i="49"/>
  <c r="N173" i="49"/>
  <c r="L173" i="49" s="1"/>
  <c r="Q173" i="49"/>
  <c r="R173" i="49"/>
  <c r="X173" i="49"/>
  <c r="E174" i="49"/>
  <c r="H174" i="49"/>
  <c r="J174" i="49"/>
  <c r="N174" i="49"/>
  <c r="M174" i="49" s="1"/>
  <c r="Q174" i="49"/>
  <c r="R174" i="49"/>
  <c r="X174" i="49"/>
  <c r="E175" i="49"/>
  <c r="H175" i="49"/>
  <c r="J175" i="49"/>
  <c r="N175" i="49"/>
  <c r="L175" i="49" s="1"/>
  <c r="Q175" i="49"/>
  <c r="R175" i="49"/>
  <c r="X175" i="49"/>
  <c r="E176" i="49"/>
  <c r="H176" i="49"/>
  <c r="J176" i="49"/>
  <c r="N176" i="49"/>
  <c r="M176" i="49" s="1"/>
  <c r="Q176" i="49"/>
  <c r="R176" i="49"/>
  <c r="X176" i="49"/>
  <c r="E177" i="49"/>
  <c r="H177" i="49"/>
  <c r="J177" i="49"/>
  <c r="N177" i="49"/>
  <c r="L177" i="49" s="1"/>
  <c r="Q177" i="49"/>
  <c r="R177" i="49"/>
  <c r="X177" i="49"/>
  <c r="E178" i="49"/>
  <c r="H178" i="49"/>
  <c r="J178" i="49"/>
  <c r="N178" i="49"/>
  <c r="M178" i="49" s="1"/>
  <c r="Q178" i="49"/>
  <c r="R178" i="49"/>
  <c r="X178" i="49"/>
  <c r="E179" i="49"/>
  <c r="H179" i="49"/>
  <c r="J179" i="49"/>
  <c r="N179" i="49"/>
  <c r="L179" i="49" s="1"/>
  <c r="Q179" i="49"/>
  <c r="R179" i="49"/>
  <c r="X179" i="49"/>
  <c r="E180" i="49"/>
  <c r="H180" i="49"/>
  <c r="J180" i="49"/>
  <c r="N180" i="49"/>
  <c r="M180" i="49" s="1"/>
  <c r="Q180" i="49"/>
  <c r="R180" i="49"/>
  <c r="X180" i="49"/>
  <c r="E181" i="49"/>
  <c r="H181" i="49"/>
  <c r="J181" i="49"/>
  <c r="N181" i="49"/>
  <c r="L181" i="49" s="1"/>
  <c r="Q181" i="49"/>
  <c r="R181" i="49"/>
  <c r="X181" i="49"/>
  <c r="E182" i="49"/>
  <c r="H182" i="49"/>
  <c r="J182" i="49"/>
  <c r="N182" i="49"/>
  <c r="M182" i="49" s="1"/>
  <c r="Q182" i="49"/>
  <c r="R182" i="49"/>
  <c r="X182" i="49"/>
  <c r="E183" i="49"/>
  <c r="H183" i="49"/>
  <c r="J183" i="49"/>
  <c r="N183" i="49"/>
  <c r="L183" i="49" s="1"/>
  <c r="Q183" i="49"/>
  <c r="R183" i="49"/>
  <c r="X183" i="49"/>
  <c r="E184" i="49"/>
  <c r="H184" i="49"/>
  <c r="J184" i="49"/>
  <c r="N184" i="49"/>
  <c r="M184" i="49" s="1"/>
  <c r="Q184" i="49"/>
  <c r="R184" i="49"/>
  <c r="X184" i="49"/>
  <c r="E185" i="49"/>
  <c r="H185" i="49"/>
  <c r="J185" i="49"/>
  <c r="N185" i="49"/>
  <c r="L185" i="49" s="1"/>
  <c r="Q185" i="49"/>
  <c r="R185" i="49"/>
  <c r="X185" i="49"/>
  <c r="E186" i="49"/>
  <c r="H186" i="49"/>
  <c r="J186" i="49"/>
  <c r="N186" i="49"/>
  <c r="M186" i="49" s="1"/>
  <c r="Q186" i="49"/>
  <c r="R186" i="49"/>
  <c r="X186" i="49"/>
  <c r="E187" i="49"/>
  <c r="H187" i="49"/>
  <c r="J187" i="49"/>
  <c r="N187" i="49"/>
  <c r="L187" i="49" s="1"/>
  <c r="Q187" i="49"/>
  <c r="R187" i="49"/>
  <c r="X187" i="49"/>
  <c r="E188" i="49"/>
  <c r="H188" i="49"/>
  <c r="J188" i="49"/>
  <c r="N188" i="49"/>
  <c r="M188" i="49" s="1"/>
  <c r="Q188" i="49"/>
  <c r="R188" i="49"/>
  <c r="X188" i="49"/>
  <c r="E189" i="49"/>
  <c r="H189" i="49"/>
  <c r="J189" i="49"/>
  <c r="N189" i="49"/>
  <c r="L189" i="49" s="1"/>
  <c r="Q189" i="49"/>
  <c r="R189" i="49"/>
  <c r="X189" i="49"/>
  <c r="E190" i="49"/>
  <c r="H190" i="49"/>
  <c r="J190" i="49"/>
  <c r="N190" i="49"/>
  <c r="M190" i="49" s="1"/>
  <c r="Q190" i="49"/>
  <c r="R190" i="49"/>
  <c r="X190" i="49"/>
  <c r="E191" i="49"/>
  <c r="H191" i="49"/>
  <c r="J191" i="49"/>
  <c r="N191" i="49"/>
  <c r="L191" i="49" s="1"/>
  <c r="Q191" i="49"/>
  <c r="R191" i="49"/>
  <c r="X191" i="49"/>
  <c r="E192" i="49"/>
  <c r="H192" i="49"/>
  <c r="J192" i="49"/>
  <c r="N192" i="49"/>
  <c r="M192" i="49" s="1"/>
  <c r="Q192" i="49"/>
  <c r="R192" i="49"/>
  <c r="X192" i="49"/>
  <c r="E193" i="49"/>
  <c r="H193" i="49"/>
  <c r="J193" i="49"/>
  <c r="N193" i="49"/>
  <c r="L193" i="49" s="1"/>
  <c r="Q193" i="49"/>
  <c r="R193" i="49"/>
  <c r="X193" i="49"/>
  <c r="E194" i="49"/>
  <c r="H194" i="49"/>
  <c r="J194" i="49"/>
  <c r="N194" i="49"/>
  <c r="M194" i="49" s="1"/>
  <c r="Q194" i="49"/>
  <c r="R194" i="49"/>
  <c r="X194" i="49"/>
  <c r="E195" i="49"/>
  <c r="H195" i="49"/>
  <c r="J195" i="49"/>
  <c r="N195" i="49"/>
  <c r="L195" i="49" s="1"/>
  <c r="Q195" i="49"/>
  <c r="R195" i="49"/>
  <c r="X195" i="49"/>
  <c r="E196" i="49"/>
  <c r="H196" i="49"/>
  <c r="J196" i="49"/>
  <c r="N196" i="49"/>
  <c r="M196" i="49" s="1"/>
  <c r="Q196" i="49"/>
  <c r="R196" i="49"/>
  <c r="X196" i="49"/>
  <c r="E197" i="49"/>
  <c r="H197" i="49"/>
  <c r="J197" i="49"/>
  <c r="N197" i="49"/>
  <c r="L197" i="49" s="1"/>
  <c r="Q197" i="49"/>
  <c r="R197" i="49"/>
  <c r="X197" i="49"/>
  <c r="E198" i="49"/>
  <c r="H198" i="49"/>
  <c r="J198" i="49"/>
  <c r="N198" i="49"/>
  <c r="M198" i="49" s="1"/>
  <c r="Q198" i="49"/>
  <c r="R198" i="49"/>
  <c r="X198" i="49"/>
  <c r="E199" i="49"/>
  <c r="H199" i="49"/>
  <c r="J199" i="49"/>
  <c r="N199" i="49"/>
  <c r="L199" i="49" s="1"/>
  <c r="Q199" i="49"/>
  <c r="R199" i="49"/>
  <c r="X199" i="49"/>
  <c r="E200" i="49"/>
  <c r="H200" i="49"/>
  <c r="J200" i="49"/>
  <c r="N200" i="49"/>
  <c r="M200" i="49" s="1"/>
  <c r="Q200" i="49"/>
  <c r="R200" i="49"/>
  <c r="X200" i="49"/>
  <c r="E201" i="49"/>
  <c r="H201" i="49"/>
  <c r="J201" i="49"/>
  <c r="N201" i="49"/>
  <c r="L201" i="49" s="1"/>
  <c r="Q201" i="49"/>
  <c r="R201" i="49"/>
  <c r="X201" i="49"/>
  <c r="E202" i="49"/>
  <c r="H202" i="49"/>
  <c r="J202" i="49"/>
  <c r="N202" i="49"/>
  <c r="M202" i="49" s="1"/>
  <c r="Q202" i="49"/>
  <c r="R202" i="49"/>
  <c r="X202" i="49"/>
  <c r="E203" i="49"/>
  <c r="H203" i="49"/>
  <c r="J203" i="49"/>
  <c r="N203" i="49"/>
  <c r="L203" i="49" s="1"/>
  <c r="Q203" i="49"/>
  <c r="R203" i="49"/>
  <c r="X203" i="49"/>
  <c r="E204" i="49"/>
  <c r="H204" i="49"/>
  <c r="J204" i="49"/>
  <c r="N204" i="49"/>
  <c r="M204" i="49" s="1"/>
  <c r="Q204" i="49"/>
  <c r="R204" i="49"/>
  <c r="X204" i="49"/>
  <c r="E205" i="49"/>
  <c r="H205" i="49"/>
  <c r="J205" i="49"/>
  <c r="N205" i="49"/>
  <c r="L205" i="49" s="1"/>
  <c r="Q205" i="49"/>
  <c r="R205" i="49"/>
  <c r="X205" i="49"/>
  <c r="E206" i="49"/>
  <c r="H206" i="49"/>
  <c r="J206" i="49"/>
  <c r="N206" i="49"/>
  <c r="M206" i="49" s="1"/>
  <c r="Q206" i="49"/>
  <c r="R206" i="49"/>
  <c r="X206" i="49"/>
  <c r="E207" i="49"/>
  <c r="H207" i="49"/>
  <c r="J207" i="49"/>
  <c r="N207" i="49"/>
  <c r="L207" i="49" s="1"/>
  <c r="Q207" i="49"/>
  <c r="R207" i="49"/>
  <c r="X207" i="49"/>
  <c r="E208" i="49"/>
  <c r="H208" i="49"/>
  <c r="J208" i="49"/>
  <c r="N208" i="49"/>
  <c r="M208" i="49" s="1"/>
  <c r="Q208" i="49"/>
  <c r="R208" i="49"/>
  <c r="X208" i="49"/>
  <c r="E209" i="49"/>
  <c r="H209" i="49"/>
  <c r="J209" i="49"/>
  <c r="N209" i="49"/>
  <c r="L209" i="49" s="1"/>
  <c r="Q209" i="49"/>
  <c r="R209" i="49"/>
  <c r="X209" i="49"/>
  <c r="E210" i="49"/>
  <c r="H210" i="49"/>
  <c r="J210" i="49"/>
  <c r="N210" i="49"/>
  <c r="M210" i="49" s="1"/>
  <c r="Q210" i="49"/>
  <c r="R210" i="49"/>
  <c r="X210" i="49"/>
  <c r="E211" i="49"/>
  <c r="H211" i="49"/>
  <c r="J211" i="49"/>
  <c r="N211" i="49"/>
  <c r="L211" i="49" s="1"/>
  <c r="Q211" i="49"/>
  <c r="R211" i="49"/>
  <c r="X211" i="49"/>
  <c r="Z139" i="49"/>
  <c r="Z140" i="49"/>
  <c r="Z141" i="49"/>
  <c r="Z142" i="49"/>
  <c r="Z143" i="49"/>
  <c r="Z144" i="49"/>
  <c r="Z145" i="49"/>
  <c r="Z146" i="49"/>
  <c r="Z147" i="49"/>
  <c r="Z148" i="49"/>
  <c r="Z149" i="49"/>
  <c r="Z150" i="49"/>
  <c r="Z151" i="49"/>
  <c r="Z152" i="49"/>
  <c r="Z153" i="49"/>
  <c r="Z154" i="49"/>
  <c r="Z155" i="49"/>
  <c r="Z156" i="49"/>
  <c r="Z157" i="49"/>
  <c r="Z158" i="49"/>
  <c r="Z159" i="49"/>
  <c r="Z160" i="49"/>
  <c r="Z161" i="49"/>
  <c r="Z162" i="49"/>
  <c r="Z163" i="49"/>
  <c r="Z164" i="49"/>
  <c r="Z165" i="49"/>
  <c r="Z166" i="49"/>
  <c r="Z167" i="49"/>
  <c r="Z168" i="49"/>
  <c r="Z169" i="49"/>
  <c r="Z170" i="49"/>
  <c r="Z171" i="49"/>
  <c r="Z172" i="49"/>
  <c r="Z173" i="49"/>
  <c r="Z174" i="49"/>
  <c r="Z175" i="49"/>
  <c r="Z176" i="49"/>
  <c r="Z177" i="49"/>
  <c r="Z178" i="49"/>
  <c r="Z179" i="49"/>
  <c r="Z180" i="49"/>
  <c r="Z181" i="49"/>
  <c r="Z182" i="49"/>
  <c r="Z183" i="49"/>
  <c r="Z184" i="49"/>
  <c r="Z185" i="49"/>
  <c r="Z186" i="49"/>
  <c r="Z187" i="49"/>
  <c r="Z188" i="49"/>
  <c r="Z189" i="49"/>
  <c r="Z190" i="49"/>
  <c r="Z191" i="49"/>
  <c r="Z192" i="49"/>
  <c r="Z193" i="49"/>
  <c r="Z194" i="49"/>
  <c r="Z195" i="49"/>
  <c r="Z196" i="49"/>
  <c r="Z197" i="49"/>
  <c r="Z198" i="49"/>
  <c r="Z199" i="49"/>
  <c r="Z200" i="49"/>
  <c r="Z201" i="49"/>
  <c r="Z202" i="49"/>
  <c r="Z203" i="49"/>
  <c r="Z204" i="49"/>
  <c r="Z205" i="49"/>
  <c r="Z206" i="49"/>
  <c r="Z207" i="49"/>
  <c r="Z208" i="49"/>
  <c r="Z209" i="49"/>
  <c r="Z210" i="49"/>
  <c r="Z211" i="49"/>
  <c r="Z212" i="49"/>
  <c r="Z213" i="49"/>
  <c r="Z214" i="49"/>
  <c r="Z215" i="49"/>
  <c r="Z216" i="49"/>
  <c r="Z217" i="49"/>
  <c r="Z218" i="49"/>
  <c r="Z219" i="49"/>
  <c r="Z220" i="49"/>
  <c r="Z221" i="49"/>
  <c r="D85" i="49"/>
  <c r="D86" i="49"/>
  <c r="D87" i="49"/>
  <c r="D88" i="49"/>
  <c r="D89" i="49"/>
  <c r="D90" i="49"/>
  <c r="D91" i="49"/>
  <c r="D92" i="49"/>
  <c r="D93" i="49"/>
  <c r="D94" i="49"/>
  <c r="D95" i="49"/>
  <c r="D96" i="49"/>
  <c r="D97" i="49"/>
  <c r="D98" i="49"/>
  <c r="D99" i="49"/>
  <c r="D100" i="49"/>
  <c r="D101" i="49"/>
  <c r="D102" i="49"/>
  <c r="D103" i="49"/>
  <c r="D104" i="49"/>
  <c r="D105" i="49"/>
  <c r="D106" i="49"/>
  <c r="D107" i="49"/>
  <c r="D108" i="49"/>
  <c r="D109" i="49"/>
  <c r="D110" i="49"/>
  <c r="D111" i="49"/>
  <c r="D112" i="49"/>
  <c r="D113" i="49"/>
  <c r="D114" i="49"/>
  <c r="D115" i="49"/>
  <c r="D116" i="49"/>
  <c r="D117" i="49"/>
  <c r="D118" i="49"/>
  <c r="E118" i="49" s="1"/>
  <c r="D119" i="49"/>
  <c r="H119" i="49" s="1"/>
  <c r="D120" i="49"/>
  <c r="E120" i="49" s="1"/>
  <c r="D121" i="49"/>
  <c r="H121" i="49" s="1"/>
  <c r="D122" i="49"/>
  <c r="E122" i="49" s="1"/>
  <c r="D123" i="49"/>
  <c r="H123" i="49" s="1"/>
  <c r="D124" i="49"/>
  <c r="E124" i="49" s="1"/>
  <c r="D125" i="49"/>
  <c r="H125" i="49" s="1"/>
  <c r="D126" i="49"/>
  <c r="E126" i="49" s="1"/>
  <c r="D127" i="49"/>
  <c r="H127" i="49" s="1"/>
  <c r="D128" i="49"/>
  <c r="E128" i="49" s="1"/>
  <c r="D129" i="49"/>
  <c r="H129" i="49" s="1"/>
  <c r="D130" i="49"/>
  <c r="E130" i="49" s="1"/>
  <c r="D131" i="49"/>
  <c r="H131" i="49" s="1"/>
  <c r="D132" i="49"/>
  <c r="E132" i="49" s="1"/>
  <c r="D133" i="49"/>
  <c r="H133" i="49" s="1"/>
  <c r="D134" i="49"/>
  <c r="E134" i="49" s="1"/>
  <c r="D135" i="49"/>
  <c r="H135" i="49" s="1"/>
  <c r="D136" i="49"/>
  <c r="E136" i="49" s="1"/>
  <c r="D137" i="49"/>
  <c r="H137" i="49" s="1"/>
  <c r="D138" i="49"/>
  <c r="E138" i="49" s="1"/>
  <c r="D57" i="49"/>
  <c r="Z57" i="49" s="1"/>
  <c r="Y57" i="49" s="1"/>
  <c r="D58" i="49"/>
  <c r="D59" i="49"/>
  <c r="D60" i="49"/>
  <c r="D61" i="49"/>
  <c r="Z61" i="49" s="1"/>
  <c r="Y61" i="49" s="1"/>
  <c r="D62" i="49"/>
  <c r="D63" i="49"/>
  <c r="D64" i="49"/>
  <c r="D65" i="49"/>
  <c r="Z65" i="49" s="1"/>
  <c r="Y65" i="49" s="1"/>
  <c r="D66" i="49"/>
  <c r="D67" i="49"/>
  <c r="D68" i="49"/>
  <c r="E68" i="49" s="1"/>
  <c r="D69" i="49"/>
  <c r="D70" i="49"/>
  <c r="E70" i="49" s="1"/>
  <c r="D71" i="49"/>
  <c r="D72" i="49"/>
  <c r="E72" i="49" s="1"/>
  <c r="D73" i="49"/>
  <c r="D74" i="49"/>
  <c r="E74" i="49" s="1"/>
  <c r="D75" i="49"/>
  <c r="D76" i="49"/>
  <c r="E76" i="49" s="1"/>
  <c r="D77" i="49"/>
  <c r="D78" i="49"/>
  <c r="D79" i="49"/>
  <c r="D80" i="49"/>
  <c r="D81" i="49"/>
  <c r="D82" i="49"/>
  <c r="D83" i="49"/>
  <c r="D84" i="49"/>
  <c r="D15" i="49"/>
  <c r="Z15" i="49" s="1"/>
  <c r="Y15" i="49" s="1"/>
  <c r="D16" i="49"/>
  <c r="Z16" i="49" s="1"/>
  <c r="Y16" i="49" s="1"/>
  <c r="D17" i="49"/>
  <c r="Z17" i="49" s="1"/>
  <c r="Y17" i="49" s="1"/>
  <c r="D18" i="49"/>
  <c r="Z18" i="49" s="1"/>
  <c r="Y18" i="49" s="1"/>
  <c r="D19" i="49"/>
  <c r="Z19" i="49" s="1"/>
  <c r="Y19" i="49" s="1"/>
  <c r="D20" i="49"/>
  <c r="Z20" i="49" s="1"/>
  <c r="Y20" i="49" s="1"/>
  <c r="D21" i="49"/>
  <c r="Z21" i="49" s="1"/>
  <c r="Y21" i="49" s="1"/>
  <c r="D22" i="49"/>
  <c r="Z22" i="49" s="1"/>
  <c r="Y22" i="49" s="1"/>
  <c r="D23" i="49"/>
  <c r="Z23" i="49" s="1"/>
  <c r="Y23" i="49" s="1"/>
  <c r="D24" i="49"/>
  <c r="Z24" i="49" s="1"/>
  <c r="Y24" i="49" s="1"/>
  <c r="D25" i="49"/>
  <c r="Z25" i="49" s="1"/>
  <c r="Y25" i="49" s="1"/>
  <c r="D26" i="49"/>
  <c r="Z26" i="49" s="1"/>
  <c r="Y26" i="49" s="1"/>
  <c r="D27" i="49"/>
  <c r="Z27" i="49" s="1"/>
  <c r="Y27" i="49" s="1"/>
  <c r="D28" i="49"/>
  <c r="Z28" i="49" s="1"/>
  <c r="Y28" i="49" s="1"/>
  <c r="D29" i="49"/>
  <c r="Z29" i="49" s="1"/>
  <c r="Y29" i="49" s="1"/>
  <c r="D30" i="49"/>
  <c r="Z30" i="49" s="1"/>
  <c r="Y30" i="49" s="1"/>
  <c r="D31" i="49"/>
  <c r="Z31" i="49" s="1"/>
  <c r="Y31" i="49" s="1"/>
  <c r="D32" i="49"/>
  <c r="Z32" i="49" s="1"/>
  <c r="Y32" i="49" s="1"/>
  <c r="D33" i="49"/>
  <c r="Z33" i="49" s="1"/>
  <c r="Y33" i="49" s="1"/>
  <c r="D34" i="49"/>
  <c r="Z34" i="49" s="1"/>
  <c r="Y34" i="49" s="1"/>
  <c r="D35" i="49"/>
  <c r="Z35" i="49" s="1"/>
  <c r="Y35" i="49" s="1"/>
  <c r="D36" i="49"/>
  <c r="Z36" i="49" s="1"/>
  <c r="Y36" i="49" s="1"/>
  <c r="D37" i="49"/>
  <c r="Z37" i="49" s="1"/>
  <c r="Y37" i="49" s="1"/>
  <c r="D38" i="49"/>
  <c r="Z38" i="49" s="1"/>
  <c r="Y38" i="49" s="1"/>
  <c r="D39" i="49"/>
  <c r="Z39" i="49" s="1"/>
  <c r="Y39" i="49" s="1"/>
  <c r="D40" i="49"/>
  <c r="Z40" i="49" s="1"/>
  <c r="Y40" i="49" s="1"/>
  <c r="D41" i="49"/>
  <c r="Z41" i="49" s="1"/>
  <c r="Y41" i="49" s="1"/>
  <c r="D42" i="49"/>
  <c r="Z42" i="49" s="1"/>
  <c r="Y42" i="49" s="1"/>
  <c r="D43" i="49"/>
  <c r="Z43" i="49" s="1"/>
  <c r="Y43" i="49" s="1"/>
  <c r="D44" i="49"/>
  <c r="Z44" i="49" s="1"/>
  <c r="Y44" i="49" s="1"/>
  <c r="D45" i="49"/>
  <c r="Z45" i="49" s="1"/>
  <c r="Y45" i="49" s="1"/>
  <c r="D46" i="49"/>
  <c r="Z46" i="49" s="1"/>
  <c r="Y46" i="49" s="1"/>
  <c r="D47" i="49"/>
  <c r="Z47" i="49" s="1"/>
  <c r="Y47" i="49" s="1"/>
  <c r="D48" i="49"/>
  <c r="Z48" i="49" s="1"/>
  <c r="Y48" i="49" s="1"/>
  <c r="D49" i="49"/>
  <c r="Z49" i="49" s="1"/>
  <c r="Y49" i="49" s="1"/>
  <c r="D50" i="49"/>
  <c r="D51" i="49"/>
  <c r="D52" i="49"/>
  <c r="D53" i="49"/>
  <c r="Z53" i="49" s="1"/>
  <c r="Y53" i="49" s="1"/>
  <c r="D54" i="49"/>
  <c r="D55" i="49"/>
  <c r="D56" i="49"/>
  <c r="D14" i="49"/>
  <c r="Z14" i="49" s="1"/>
  <c r="Y14" i="49" s="1"/>
  <c r="K22" i="13"/>
  <c r="X12" i="55" l="1"/>
  <c r="X16" i="55"/>
  <c r="U9" i="58"/>
  <c r="AD8" i="57"/>
  <c r="X18" i="55"/>
  <c r="Z137" i="49"/>
  <c r="Y137" i="49" s="1"/>
  <c r="Z135" i="49"/>
  <c r="Y135" i="49" s="1"/>
  <c r="J135" i="49" s="1"/>
  <c r="Z133" i="49"/>
  <c r="Y133" i="49" s="1"/>
  <c r="Z131" i="49"/>
  <c r="Y131" i="49" s="1"/>
  <c r="J131" i="49" s="1"/>
  <c r="Z129" i="49"/>
  <c r="Y129" i="49" s="1"/>
  <c r="Z127" i="49"/>
  <c r="Y127" i="49" s="1"/>
  <c r="J127" i="49" s="1"/>
  <c r="Z125" i="49"/>
  <c r="Y125" i="49" s="1"/>
  <c r="Z123" i="49"/>
  <c r="Y123" i="49" s="1"/>
  <c r="J123" i="49" s="1"/>
  <c r="Z121" i="49"/>
  <c r="Y121" i="49" s="1"/>
  <c r="Z119" i="49"/>
  <c r="Y119" i="49" s="1"/>
  <c r="J119" i="49" s="1"/>
  <c r="N138" i="49"/>
  <c r="L138" i="49" s="1"/>
  <c r="H138" i="49"/>
  <c r="X137" i="49"/>
  <c r="J137" i="49"/>
  <c r="E137" i="49"/>
  <c r="N136" i="49"/>
  <c r="M136" i="49" s="1"/>
  <c r="H136" i="49"/>
  <c r="X135" i="49"/>
  <c r="E135" i="49"/>
  <c r="N134" i="49"/>
  <c r="M134" i="49" s="1"/>
  <c r="H134" i="49"/>
  <c r="X133" i="49"/>
  <c r="J133" i="49"/>
  <c r="E133" i="49"/>
  <c r="N132" i="49"/>
  <c r="M132" i="49" s="1"/>
  <c r="H132" i="49"/>
  <c r="X131" i="49"/>
  <c r="E131" i="49"/>
  <c r="N130" i="49"/>
  <c r="M130" i="49" s="1"/>
  <c r="H130" i="49"/>
  <c r="X129" i="49"/>
  <c r="J129" i="49"/>
  <c r="E129" i="49"/>
  <c r="N128" i="49"/>
  <c r="M128" i="49" s="1"/>
  <c r="H128" i="49"/>
  <c r="X127" i="49"/>
  <c r="E127" i="49"/>
  <c r="N126" i="49"/>
  <c r="M126" i="49" s="1"/>
  <c r="H126" i="49"/>
  <c r="X125" i="49"/>
  <c r="J125" i="49"/>
  <c r="E125" i="49"/>
  <c r="N124" i="49"/>
  <c r="M124" i="49" s="1"/>
  <c r="H124" i="49"/>
  <c r="X123" i="49"/>
  <c r="E123" i="49"/>
  <c r="N122" i="49"/>
  <c r="M122" i="49" s="1"/>
  <c r="H122" i="49"/>
  <c r="X121" i="49"/>
  <c r="J121" i="49"/>
  <c r="E121" i="49"/>
  <c r="N120" i="49"/>
  <c r="M120" i="49" s="1"/>
  <c r="H120" i="49"/>
  <c r="X119" i="49"/>
  <c r="E119" i="49"/>
  <c r="N118" i="49"/>
  <c r="M118" i="49" s="1"/>
  <c r="H118" i="49"/>
  <c r="Z138" i="49"/>
  <c r="Z136" i="49"/>
  <c r="Y136" i="49" s="1"/>
  <c r="Z134" i="49"/>
  <c r="Y134" i="49" s="1"/>
  <c r="Z132" i="49"/>
  <c r="Y132" i="49" s="1"/>
  <c r="Z130" i="49"/>
  <c r="Y130" i="49" s="1"/>
  <c r="Z128" i="49"/>
  <c r="Y128" i="49" s="1"/>
  <c r="Z126" i="49"/>
  <c r="Y126" i="49" s="1"/>
  <c r="Z124" i="49"/>
  <c r="Y124" i="49" s="1"/>
  <c r="Z122" i="49"/>
  <c r="Y122" i="49" s="1"/>
  <c r="Z120" i="49"/>
  <c r="Y120" i="49" s="1"/>
  <c r="Z118" i="49"/>
  <c r="Y118" i="49" s="1"/>
  <c r="X138" i="49"/>
  <c r="J138" i="49"/>
  <c r="N137" i="49"/>
  <c r="L137" i="49" s="1"/>
  <c r="X136" i="49"/>
  <c r="J136" i="49"/>
  <c r="N135" i="49"/>
  <c r="L135" i="49" s="1"/>
  <c r="X134" i="49"/>
  <c r="J134" i="49"/>
  <c r="N133" i="49"/>
  <c r="L133" i="49" s="1"/>
  <c r="X132" i="49"/>
  <c r="J132" i="49"/>
  <c r="N131" i="49"/>
  <c r="L131" i="49" s="1"/>
  <c r="X130" i="49"/>
  <c r="J130" i="49"/>
  <c r="N129" i="49"/>
  <c r="L129" i="49" s="1"/>
  <c r="X128" i="49"/>
  <c r="J128" i="49"/>
  <c r="N127" i="49"/>
  <c r="L127" i="49" s="1"/>
  <c r="X126" i="49"/>
  <c r="J126" i="49"/>
  <c r="N125" i="49"/>
  <c r="L125" i="49" s="1"/>
  <c r="X124" i="49"/>
  <c r="J124" i="49"/>
  <c r="N123" i="49"/>
  <c r="L123" i="49" s="1"/>
  <c r="X122" i="49"/>
  <c r="J122" i="49"/>
  <c r="N121" i="49"/>
  <c r="L121" i="49" s="1"/>
  <c r="X120" i="49"/>
  <c r="J120" i="49"/>
  <c r="N119" i="49"/>
  <c r="L119" i="49" s="1"/>
  <c r="X118" i="49"/>
  <c r="J118" i="49"/>
  <c r="W17" i="55"/>
  <c r="V17" i="55"/>
  <c r="X11" i="55"/>
  <c r="W11" i="55"/>
  <c r="X13" i="55"/>
  <c r="W13" i="55"/>
  <c r="E54" i="49"/>
  <c r="X54" i="49"/>
  <c r="Z54" i="49"/>
  <c r="Y54" i="49" s="1"/>
  <c r="E50" i="49"/>
  <c r="X50" i="49"/>
  <c r="Z50" i="49"/>
  <c r="Y50" i="49" s="1"/>
  <c r="E84" i="49"/>
  <c r="X84" i="49"/>
  <c r="E82" i="49"/>
  <c r="X82" i="49"/>
  <c r="E80" i="49"/>
  <c r="X80" i="49"/>
  <c r="E78" i="49"/>
  <c r="X78" i="49"/>
  <c r="E62" i="49"/>
  <c r="X62" i="49"/>
  <c r="Z62" i="49"/>
  <c r="Y62" i="49" s="1"/>
  <c r="E56" i="49"/>
  <c r="X56" i="49"/>
  <c r="Z56" i="49"/>
  <c r="Y56" i="49" s="1"/>
  <c r="E52" i="49"/>
  <c r="X52" i="49"/>
  <c r="Z52" i="49"/>
  <c r="Y52" i="49" s="1"/>
  <c r="E66" i="49"/>
  <c r="Z66" i="49"/>
  <c r="Y66" i="49" s="1"/>
  <c r="E64" i="49"/>
  <c r="X64" i="49"/>
  <c r="Z64" i="49"/>
  <c r="Y64" i="49" s="1"/>
  <c r="E60" i="49"/>
  <c r="X60" i="49"/>
  <c r="Z60" i="49"/>
  <c r="Y60" i="49" s="1"/>
  <c r="E58" i="49"/>
  <c r="X58" i="49"/>
  <c r="Z58" i="49"/>
  <c r="Y58" i="49" s="1"/>
  <c r="E116" i="49"/>
  <c r="X116" i="49"/>
  <c r="H116" i="49"/>
  <c r="N116" i="49"/>
  <c r="M116" i="49" s="1"/>
  <c r="E114" i="49"/>
  <c r="X114" i="49"/>
  <c r="H114" i="49"/>
  <c r="N114" i="49"/>
  <c r="M114" i="49" s="1"/>
  <c r="E112" i="49"/>
  <c r="X112" i="49"/>
  <c r="H112" i="49"/>
  <c r="N112" i="49"/>
  <c r="M112" i="49" s="1"/>
  <c r="E110" i="49"/>
  <c r="X110" i="49"/>
  <c r="H110" i="49"/>
  <c r="N110" i="49"/>
  <c r="M110" i="49" s="1"/>
  <c r="E108" i="49"/>
  <c r="X108" i="49"/>
  <c r="H108" i="49"/>
  <c r="N108" i="49"/>
  <c r="M108" i="49" s="1"/>
  <c r="E106" i="49"/>
  <c r="X106" i="49"/>
  <c r="H106" i="49"/>
  <c r="N106" i="49"/>
  <c r="M106" i="49" s="1"/>
  <c r="E104" i="49"/>
  <c r="X104" i="49"/>
  <c r="H104" i="49"/>
  <c r="N104" i="49"/>
  <c r="M104" i="49" s="1"/>
  <c r="E102" i="49"/>
  <c r="X102" i="49"/>
  <c r="H102" i="49"/>
  <c r="N102" i="49"/>
  <c r="M102" i="49" s="1"/>
  <c r="E100" i="49"/>
  <c r="X100" i="49"/>
  <c r="H100" i="49"/>
  <c r="N100" i="49"/>
  <c r="M100" i="49" s="1"/>
  <c r="H98" i="49"/>
  <c r="E98" i="49"/>
  <c r="X98" i="49"/>
  <c r="H96" i="49"/>
  <c r="E96" i="49"/>
  <c r="X96" i="49"/>
  <c r="H94" i="49"/>
  <c r="E94" i="49"/>
  <c r="X94" i="49"/>
  <c r="H92" i="49"/>
  <c r="E92" i="49"/>
  <c r="X92" i="49"/>
  <c r="E90" i="49"/>
  <c r="X90" i="49"/>
  <c r="E88" i="49"/>
  <c r="X88" i="49"/>
  <c r="E86" i="49"/>
  <c r="X86" i="49"/>
  <c r="Z114" i="49"/>
  <c r="Y114" i="49" s="1"/>
  <c r="J114" i="49" s="1"/>
  <c r="Z110" i="49"/>
  <c r="Y110" i="49" s="1"/>
  <c r="J110" i="49" s="1"/>
  <c r="Z106" i="49"/>
  <c r="Y106" i="49" s="1"/>
  <c r="J106" i="49" s="1"/>
  <c r="Z102" i="49"/>
  <c r="Y102" i="49" s="1"/>
  <c r="J102" i="49" s="1"/>
  <c r="Z98" i="49"/>
  <c r="Y98" i="49" s="1"/>
  <c r="J98" i="49" s="1"/>
  <c r="Z94" i="49"/>
  <c r="Y94" i="49" s="1"/>
  <c r="J94" i="49" s="1"/>
  <c r="Z90" i="49"/>
  <c r="Y90" i="49" s="1"/>
  <c r="Z86" i="49"/>
  <c r="Y86" i="49" s="1"/>
  <c r="Z82" i="49"/>
  <c r="Y82" i="49" s="1"/>
  <c r="Z78" i="49"/>
  <c r="Y78" i="49" s="1"/>
  <c r="E55" i="49"/>
  <c r="X55" i="49"/>
  <c r="E53" i="49"/>
  <c r="X53" i="49"/>
  <c r="E51" i="49"/>
  <c r="X51" i="49"/>
  <c r="E83" i="49"/>
  <c r="X83" i="49"/>
  <c r="Z83" i="49"/>
  <c r="Y83" i="49" s="1"/>
  <c r="E81" i="49"/>
  <c r="X81" i="49"/>
  <c r="Z81" i="49"/>
  <c r="Y81" i="49" s="1"/>
  <c r="E79" i="49"/>
  <c r="X79" i="49"/>
  <c r="Z79" i="49"/>
  <c r="Y79" i="49" s="1"/>
  <c r="E77" i="49"/>
  <c r="X77" i="49"/>
  <c r="Z77" i="49"/>
  <c r="Y77" i="49" s="1"/>
  <c r="E65" i="49"/>
  <c r="X65" i="49"/>
  <c r="E63" i="49"/>
  <c r="X63" i="49"/>
  <c r="E61" i="49"/>
  <c r="X61" i="49"/>
  <c r="E59" i="49"/>
  <c r="X59" i="49"/>
  <c r="E57" i="49"/>
  <c r="X57" i="49"/>
  <c r="H117" i="49"/>
  <c r="N117" i="49"/>
  <c r="L117" i="49" s="1"/>
  <c r="Z117" i="49"/>
  <c r="Y117" i="49" s="1"/>
  <c r="J117" i="49" s="1"/>
  <c r="E117" i="49"/>
  <c r="X117" i="49"/>
  <c r="H115" i="49"/>
  <c r="N115" i="49"/>
  <c r="L115" i="49" s="1"/>
  <c r="Z115" i="49"/>
  <c r="Y115" i="49" s="1"/>
  <c r="E115" i="49"/>
  <c r="J115" i="49"/>
  <c r="X115" i="49"/>
  <c r="H113" i="49"/>
  <c r="N113" i="49"/>
  <c r="L113" i="49" s="1"/>
  <c r="Z113" i="49"/>
  <c r="Y113" i="49" s="1"/>
  <c r="J113" i="49" s="1"/>
  <c r="E113" i="49"/>
  <c r="X113" i="49"/>
  <c r="H111" i="49"/>
  <c r="N111" i="49"/>
  <c r="L111" i="49" s="1"/>
  <c r="Z111" i="49"/>
  <c r="Y111" i="49" s="1"/>
  <c r="J111" i="49" s="1"/>
  <c r="E111" i="49"/>
  <c r="X111" i="49"/>
  <c r="H109" i="49"/>
  <c r="N109" i="49"/>
  <c r="L109" i="49" s="1"/>
  <c r="Z109" i="49"/>
  <c r="Y109" i="49" s="1"/>
  <c r="E109" i="49"/>
  <c r="J109" i="49"/>
  <c r="X109" i="49"/>
  <c r="H107" i="49"/>
  <c r="N107" i="49"/>
  <c r="L107" i="49" s="1"/>
  <c r="Z107" i="49"/>
  <c r="Y107" i="49" s="1"/>
  <c r="J107" i="49" s="1"/>
  <c r="E107" i="49"/>
  <c r="X107" i="49"/>
  <c r="H105" i="49"/>
  <c r="N105" i="49"/>
  <c r="L105" i="49" s="1"/>
  <c r="Z105" i="49"/>
  <c r="Y105" i="49" s="1"/>
  <c r="J105" i="49" s="1"/>
  <c r="E105" i="49"/>
  <c r="X105" i="49"/>
  <c r="H103" i="49"/>
  <c r="N103" i="49"/>
  <c r="L103" i="49" s="1"/>
  <c r="Z103" i="49"/>
  <c r="Y103" i="49" s="1"/>
  <c r="E103" i="49"/>
  <c r="J103" i="49"/>
  <c r="X103" i="49"/>
  <c r="H101" i="49"/>
  <c r="E101" i="49"/>
  <c r="N101" i="49"/>
  <c r="L101" i="49" s="1"/>
  <c r="Z101" i="49"/>
  <c r="Y101" i="49" s="1"/>
  <c r="J101" i="49" s="1"/>
  <c r="X101" i="49"/>
  <c r="E99" i="49"/>
  <c r="X99" i="49"/>
  <c r="H99" i="49"/>
  <c r="Z99" i="49"/>
  <c r="Y99" i="49" s="1"/>
  <c r="J99" i="49" s="1"/>
  <c r="E97" i="49"/>
  <c r="X97" i="49"/>
  <c r="H97" i="49"/>
  <c r="Z97" i="49"/>
  <c r="Y97" i="49" s="1"/>
  <c r="J97" i="49" s="1"/>
  <c r="E95" i="49"/>
  <c r="X95" i="49"/>
  <c r="H95" i="49"/>
  <c r="Z95" i="49"/>
  <c r="Y95" i="49" s="1"/>
  <c r="J95" i="49" s="1"/>
  <c r="E93" i="49"/>
  <c r="X93" i="49"/>
  <c r="H93" i="49"/>
  <c r="Z93" i="49"/>
  <c r="Y93" i="49" s="1"/>
  <c r="J93" i="49" s="1"/>
  <c r="E91" i="49"/>
  <c r="X91" i="49"/>
  <c r="Z91" i="49"/>
  <c r="Y91" i="49" s="1"/>
  <c r="E89" i="49"/>
  <c r="X89" i="49"/>
  <c r="Z89" i="49"/>
  <c r="Y89" i="49" s="1"/>
  <c r="E87" i="49"/>
  <c r="X87" i="49"/>
  <c r="Z87" i="49"/>
  <c r="Y87" i="49" s="1"/>
  <c r="E85" i="49"/>
  <c r="X85" i="49"/>
  <c r="Z85" i="49"/>
  <c r="Y85" i="49" s="1"/>
  <c r="Z116" i="49"/>
  <c r="Y116" i="49" s="1"/>
  <c r="J116" i="49" s="1"/>
  <c r="Z112" i="49"/>
  <c r="Y112" i="49" s="1"/>
  <c r="J112" i="49" s="1"/>
  <c r="Z108" i="49"/>
  <c r="Y108" i="49" s="1"/>
  <c r="J108" i="49" s="1"/>
  <c r="Z104" i="49"/>
  <c r="Y104" i="49" s="1"/>
  <c r="J104" i="49" s="1"/>
  <c r="Z100" i="49"/>
  <c r="Y100" i="49" s="1"/>
  <c r="J100" i="49" s="1"/>
  <c r="Z96" i="49"/>
  <c r="Y96" i="49" s="1"/>
  <c r="J96" i="49" s="1"/>
  <c r="Z92" i="49"/>
  <c r="Y92" i="49" s="1"/>
  <c r="J92" i="49" s="1"/>
  <c r="Z88" i="49"/>
  <c r="Y88" i="49" s="1"/>
  <c r="Z84" i="49"/>
  <c r="Y84" i="49" s="1"/>
  <c r="Z80" i="49"/>
  <c r="Y80" i="49" s="1"/>
  <c r="Z68" i="49"/>
  <c r="Y68" i="49" s="1"/>
  <c r="Z63" i="49"/>
  <c r="Y63" i="49" s="1"/>
  <c r="Z59" i="49"/>
  <c r="Y59" i="49" s="1"/>
  <c r="Z55" i="49"/>
  <c r="Y55" i="49" s="1"/>
  <c r="Z51" i="49"/>
  <c r="Y51" i="49" s="1"/>
  <c r="AC10" i="57"/>
  <c r="Z76" i="49"/>
  <c r="Y76" i="49" s="1"/>
  <c r="Z74" i="49"/>
  <c r="Y74" i="49" s="1"/>
  <c r="Z72" i="49"/>
  <c r="Y72" i="49" s="1"/>
  <c r="Z70" i="49"/>
  <c r="Y70" i="49" s="1"/>
  <c r="Z75" i="49"/>
  <c r="Y75" i="49" s="1"/>
  <c r="Z73" i="49"/>
  <c r="Y73" i="49" s="1"/>
  <c r="Z71" i="49"/>
  <c r="Y71" i="49" s="1"/>
  <c r="Z69" i="49"/>
  <c r="Y69" i="49" s="1"/>
  <c r="Z67" i="49"/>
  <c r="Y67" i="49" s="1"/>
  <c r="X75" i="49"/>
  <c r="E75" i="49"/>
  <c r="X73" i="49"/>
  <c r="E73" i="49"/>
  <c r="X71" i="49"/>
  <c r="E71" i="49"/>
  <c r="X69" i="49"/>
  <c r="E69" i="49"/>
  <c r="X67" i="49"/>
  <c r="E67" i="49"/>
  <c r="X76" i="49"/>
  <c r="X74" i="49"/>
  <c r="X72" i="49"/>
  <c r="X70" i="49"/>
  <c r="X68" i="49"/>
  <c r="X66" i="49"/>
  <c r="X15" i="55"/>
  <c r="W15" i="55"/>
  <c r="V20" i="55"/>
  <c r="AD10" i="57"/>
  <c r="V8" i="58"/>
  <c r="X20" i="55"/>
  <c r="AA13" i="54"/>
  <c r="AC13" i="54"/>
  <c r="Z13" i="54"/>
  <c r="AB13" i="54"/>
  <c r="Z15" i="54"/>
  <c r="AB15" i="54"/>
  <c r="AA15" i="54"/>
  <c r="AC15" i="54"/>
  <c r="AA17" i="54"/>
  <c r="AC17" i="54"/>
  <c r="Z17" i="54"/>
  <c r="AB17" i="54"/>
  <c r="T9" i="58"/>
  <c r="Z10" i="58"/>
  <c r="Z11" i="58" s="1"/>
  <c r="AA10" i="54"/>
  <c r="AC10" i="54"/>
  <c r="Z10" i="54"/>
  <c r="AB10" i="54"/>
  <c r="Z18" i="54"/>
  <c r="AA18" i="54"/>
  <c r="AC18" i="54"/>
  <c r="AA11" i="54"/>
  <c r="AC11" i="54"/>
  <c r="Z11" i="54"/>
  <c r="AB11" i="54"/>
  <c r="Z19" i="54"/>
  <c r="AB19" i="54"/>
  <c r="AA19" i="54"/>
  <c r="AC19" i="54"/>
  <c r="T8" i="58"/>
  <c r="AA12" i="54"/>
  <c r="AC12" i="54"/>
  <c r="Z12" i="54"/>
  <c r="AB12" i="54"/>
  <c r="Z14" i="54"/>
  <c r="AA14" i="54"/>
  <c r="AC14" i="54"/>
  <c r="Z16" i="54"/>
  <c r="AC16" i="54"/>
  <c r="AA16" i="54"/>
  <c r="M211" i="49"/>
  <c r="M179" i="49"/>
  <c r="M195" i="49"/>
  <c r="M163" i="49"/>
  <c r="M140" i="49"/>
  <c r="M203" i="49"/>
  <c r="M187" i="49"/>
  <c r="M171" i="49"/>
  <c r="M155" i="49"/>
  <c r="M148" i="49"/>
  <c r="M207" i="49"/>
  <c r="M199" i="49"/>
  <c r="M191" i="49"/>
  <c r="M183" i="49"/>
  <c r="M175" i="49"/>
  <c r="M167" i="49"/>
  <c r="M159" i="49"/>
  <c r="M144" i="49"/>
  <c r="M209" i="49"/>
  <c r="M205" i="49"/>
  <c r="M201" i="49"/>
  <c r="M197" i="49"/>
  <c r="M193" i="49"/>
  <c r="M189" i="49"/>
  <c r="M185" i="49"/>
  <c r="M181" i="49"/>
  <c r="M177" i="49"/>
  <c r="M173" i="49"/>
  <c r="M169" i="49"/>
  <c r="M165" i="49"/>
  <c r="M161" i="49"/>
  <c r="M157" i="49"/>
  <c r="M153" i="49"/>
  <c r="M150" i="49"/>
  <c r="M146" i="49"/>
  <c r="M142" i="49"/>
  <c r="M135" i="49"/>
  <c r="M127" i="49"/>
  <c r="M119" i="49"/>
  <c r="L210" i="49"/>
  <c r="L208" i="49"/>
  <c r="L202" i="49"/>
  <c r="L200" i="49"/>
  <c r="L198" i="49"/>
  <c r="L196" i="49"/>
  <c r="L194" i="49"/>
  <c r="L192" i="49"/>
  <c r="L190" i="49"/>
  <c r="L188" i="49"/>
  <c r="L186" i="49"/>
  <c r="L182" i="49"/>
  <c r="L178" i="49"/>
  <c r="L174" i="49"/>
  <c r="L172" i="49"/>
  <c r="L170" i="49"/>
  <c r="L168" i="49"/>
  <c r="L166" i="49"/>
  <c r="L164" i="49"/>
  <c r="L162" i="49"/>
  <c r="L160" i="49"/>
  <c r="L158" i="49"/>
  <c r="L156" i="49"/>
  <c r="L154" i="49"/>
  <c r="L152" i="49"/>
  <c r="M151" i="49"/>
  <c r="M149" i="49"/>
  <c r="M147" i="49"/>
  <c r="M145" i="49"/>
  <c r="M143" i="49"/>
  <c r="M141" i="49"/>
  <c r="M139" i="49"/>
  <c r="L206" i="49"/>
  <c r="L204" i="49"/>
  <c r="L184" i="49"/>
  <c r="L180" i="49"/>
  <c r="L176" i="49"/>
  <c r="L130" i="49"/>
  <c r="L122" i="49"/>
  <c r="T11" i="58" l="1"/>
  <c r="V11" i="58"/>
  <c r="U11" i="58"/>
  <c r="M137" i="49"/>
  <c r="L118" i="49"/>
  <c r="L126" i="49"/>
  <c r="L134" i="49"/>
  <c r="M123" i="49"/>
  <c r="M131" i="49"/>
  <c r="M138" i="49"/>
  <c r="M121" i="49"/>
  <c r="M133" i="49"/>
  <c r="L110" i="49"/>
  <c r="M115" i="49"/>
  <c r="L102" i="49"/>
  <c r="M117" i="49"/>
  <c r="L120" i="49"/>
  <c r="L124" i="49"/>
  <c r="L128" i="49"/>
  <c r="L132" i="49"/>
  <c r="M109" i="49"/>
  <c r="L136" i="49"/>
  <c r="M129" i="49"/>
  <c r="M125" i="49"/>
  <c r="M101" i="49"/>
  <c r="L106" i="49"/>
  <c r="L114" i="49"/>
  <c r="L100" i="49"/>
  <c r="L104" i="49"/>
  <c r="L108" i="49"/>
  <c r="L112" i="49"/>
  <c r="L116" i="49"/>
  <c r="M103" i="49"/>
  <c r="M105" i="49"/>
  <c r="M111" i="49"/>
  <c r="M113" i="49"/>
  <c r="M107" i="49"/>
  <c r="U10" i="58"/>
  <c r="V10" i="58"/>
  <c r="T10" i="58"/>
  <c r="AC3" i="53"/>
  <c r="AC4" i="53"/>
  <c r="AC5" i="53"/>
  <c r="AC6" i="53"/>
  <c r="AC7" i="53"/>
  <c r="AC8" i="53"/>
  <c r="AC9" i="53"/>
  <c r="AC2" i="53"/>
  <c r="D4" i="60"/>
  <c r="E4" i="60"/>
  <c r="F4" i="60"/>
  <c r="L4" i="60"/>
  <c r="M4" i="60"/>
  <c r="P4" i="60"/>
  <c r="Q4" i="60"/>
  <c r="R4" i="60"/>
  <c r="D5" i="60"/>
  <c r="E5" i="60"/>
  <c r="F5" i="60"/>
  <c r="L5" i="60"/>
  <c r="M5" i="60"/>
  <c r="P5" i="60"/>
  <c r="Q5" i="60"/>
  <c r="R5" i="60"/>
  <c r="D6" i="60"/>
  <c r="E6" i="60"/>
  <c r="F6" i="60"/>
  <c r="L6" i="60"/>
  <c r="M6" i="60"/>
  <c r="P6" i="60"/>
  <c r="Q6" i="60"/>
  <c r="R6" i="60"/>
  <c r="D6" i="59"/>
  <c r="E6" i="59"/>
  <c r="F6" i="59"/>
  <c r="L6" i="59"/>
  <c r="M6" i="59"/>
  <c r="P6" i="59"/>
  <c r="Q6" i="59"/>
  <c r="R6" i="59"/>
  <c r="D7" i="59"/>
  <c r="E7" i="59"/>
  <c r="F7" i="59"/>
  <c r="L7" i="59"/>
  <c r="M7" i="59"/>
  <c r="P7" i="59"/>
  <c r="Q7" i="59"/>
  <c r="R7" i="59"/>
  <c r="D7" i="58"/>
  <c r="E7" i="58"/>
  <c r="F7" i="58"/>
  <c r="L7" i="58"/>
  <c r="M7" i="58"/>
  <c r="P7" i="58"/>
  <c r="Q7" i="58"/>
  <c r="R7" i="58"/>
  <c r="T7" i="58"/>
  <c r="D6" i="58"/>
  <c r="E6" i="58"/>
  <c r="F6" i="58"/>
  <c r="L6" i="58"/>
  <c r="M6" i="58"/>
  <c r="P6" i="58"/>
  <c r="Q6" i="58"/>
  <c r="R6" i="58"/>
  <c r="T6" i="58"/>
  <c r="U6" i="58"/>
  <c r="D6" i="57"/>
  <c r="P24" i="74" s="1"/>
  <c r="E6" i="57"/>
  <c r="F6" i="57"/>
  <c r="L6" i="57"/>
  <c r="M6" i="57"/>
  <c r="P6" i="57"/>
  <c r="Q6" i="57"/>
  <c r="R6" i="57"/>
  <c r="X6" i="57"/>
  <c r="Y6" i="57"/>
  <c r="Z6" i="57"/>
  <c r="AD6" i="57" s="1"/>
  <c r="AE6" i="57"/>
  <c r="D7" i="57"/>
  <c r="P25" i="74" s="1"/>
  <c r="E7" i="57"/>
  <c r="F7" i="57"/>
  <c r="L7" i="57"/>
  <c r="M7" i="57"/>
  <c r="P7" i="57"/>
  <c r="Q7" i="57"/>
  <c r="R7" i="57"/>
  <c r="X7" i="57"/>
  <c r="Y7" i="57"/>
  <c r="Z7" i="57"/>
  <c r="AE7" i="57"/>
  <c r="D6" i="67"/>
  <c r="E6" i="67"/>
  <c r="F6" i="67"/>
  <c r="G6" i="67"/>
  <c r="H6" i="67"/>
  <c r="I6" i="67"/>
  <c r="J6" i="67"/>
  <c r="K6" i="67"/>
  <c r="L6" i="67"/>
  <c r="M6" i="67"/>
  <c r="N6" i="67"/>
  <c r="O6" i="67"/>
  <c r="P6" i="67"/>
  <c r="Q6" i="67"/>
  <c r="R6" i="67"/>
  <c r="D7" i="67"/>
  <c r="E7" i="67"/>
  <c r="F7" i="67"/>
  <c r="G7" i="67"/>
  <c r="H7" i="67"/>
  <c r="I7" i="67"/>
  <c r="J7" i="67"/>
  <c r="K7" i="67"/>
  <c r="L7" i="67"/>
  <c r="M7" i="67"/>
  <c r="N7" i="67"/>
  <c r="O7" i="67"/>
  <c r="P7" i="67"/>
  <c r="Q7" i="67"/>
  <c r="R7" i="67"/>
  <c r="D3" i="67"/>
  <c r="E3" i="67"/>
  <c r="F3" i="67"/>
  <c r="L3" i="67"/>
  <c r="M3" i="67"/>
  <c r="P3" i="67"/>
  <c r="Q3" i="67"/>
  <c r="R3" i="67"/>
  <c r="D4" i="67"/>
  <c r="E4" i="67"/>
  <c r="F4" i="67"/>
  <c r="L4" i="67"/>
  <c r="M4" i="67"/>
  <c r="P4" i="67"/>
  <c r="Q4" i="67"/>
  <c r="R4" i="67"/>
  <c r="D5" i="67"/>
  <c r="E5" i="67"/>
  <c r="F5" i="67"/>
  <c r="G5" i="67"/>
  <c r="H5" i="67"/>
  <c r="I5" i="67"/>
  <c r="J5" i="67"/>
  <c r="K5" i="67"/>
  <c r="L5" i="67"/>
  <c r="M5" i="67"/>
  <c r="N5" i="67"/>
  <c r="O5" i="67"/>
  <c r="P5" i="67"/>
  <c r="Q5" i="67"/>
  <c r="R5" i="67"/>
  <c r="D8" i="56"/>
  <c r="E8" i="56"/>
  <c r="F8" i="56"/>
  <c r="L8" i="56"/>
  <c r="M8" i="56"/>
  <c r="P8" i="56"/>
  <c r="Q8" i="56"/>
  <c r="R8" i="56"/>
  <c r="D9" i="56"/>
  <c r="E9" i="56"/>
  <c r="F9" i="56"/>
  <c r="L9" i="56"/>
  <c r="M9" i="56"/>
  <c r="P9" i="56"/>
  <c r="Q9" i="56"/>
  <c r="R9" i="56"/>
  <c r="D8" i="69"/>
  <c r="E8" i="69"/>
  <c r="F8" i="69"/>
  <c r="L8" i="69"/>
  <c r="M8" i="69"/>
  <c r="P8" i="69"/>
  <c r="Q8" i="69"/>
  <c r="R8" i="69"/>
  <c r="D9" i="69"/>
  <c r="E9" i="69"/>
  <c r="F9" i="69"/>
  <c r="L9" i="69"/>
  <c r="M9" i="69"/>
  <c r="P9" i="69"/>
  <c r="Q9" i="69"/>
  <c r="R9" i="69"/>
  <c r="D8" i="55"/>
  <c r="E8" i="55"/>
  <c r="F8" i="55"/>
  <c r="L8" i="55"/>
  <c r="M8" i="55"/>
  <c r="P8" i="55"/>
  <c r="Q8" i="55"/>
  <c r="R8" i="55"/>
  <c r="D9" i="55"/>
  <c r="E9" i="55"/>
  <c r="F9" i="55"/>
  <c r="L9" i="55"/>
  <c r="M9" i="55"/>
  <c r="P9" i="55"/>
  <c r="Q9" i="55"/>
  <c r="R9" i="55"/>
  <c r="D8" i="54"/>
  <c r="E8" i="54"/>
  <c r="F8" i="54"/>
  <c r="L8" i="54"/>
  <c r="M8" i="54"/>
  <c r="P8" i="54"/>
  <c r="Q8" i="54"/>
  <c r="R8" i="54"/>
  <c r="T8" i="54"/>
  <c r="Z8" i="54" s="1"/>
  <c r="W8" i="54"/>
  <c r="X8" i="54" s="1"/>
  <c r="AA8" i="54"/>
  <c r="D9" i="54"/>
  <c r="E9" i="54"/>
  <c r="F9" i="54"/>
  <c r="L9" i="54"/>
  <c r="M9" i="54"/>
  <c r="P9" i="54"/>
  <c r="Q9" i="54"/>
  <c r="R9" i="54"/>
  <c r="T9" i="54"/>
  <c r="Z9" i="54" s="1"/>
  <c r="W9" i="54"/>
  <c r="X9" i="54" s="1"/>
  <c r="AA9" i="54"/>
  <c r="D8" i="53"/>
  <c r="E8" i="53"/>
  <c r="F8" i="53"/>
  <c r="L8" i="53"/>
  <c r="M8" i="53"/>
  <c r="P8" i="53"/>
  <c r="Q8" i="53"/>
  <c r="R8" i="53"/>
  <c r="T8" i="53"/>
  <c r="U8" i="55" s="1"/>
  <c r="AC8" i="55" s="1"/>
  <c r="U8" i="53"/>
  <c r="W8" i="53"/>
  <c r="D9" i="53"/>
  <c r="E9" i="53"/>
  <c r="F9" i="53"/>
  <c r="L9" i="53"/>
  <c r="M9" i="53"/>
  <c r="P9" i="53"/>
  <c r="Q9" i="53"/>
  <c r="R9" i="53"/>
  <c r="T9" i="53"/>
  <c r="U9" i="55" s="1"/>
  <c r="AC9" i="55" s="1"/>
  <c r="U9" i="53"/>
  <c r="W9" i="53"/>
  <c r="D8" i="52"/>
  <c r="E8" i="52"/>
  <c r="F8" i="52"/>
  <c r="L8" i="52"/>
  <c r="M8" i="52"/>
  <c r="P8" i="52"/>
  <c r="Q8" i="52"/>
  <c r="R8" i="52"/>
  <c r="D9" i="52"/>
  <c r="E9" i="52"/>
  <c r="F9" i="52"/>
  <c r="L9" i="52"/>
  <c r="M9" i="52"/>
  <c r="P9" i="52"/>
  <c r="Q9" i="52"/>
  <c r="R9" i="52"/>
  <c r="D7" i="51"/>
  <c r="E7" i="51"/>
  <c r="F7" i="51"/>
  <c r="L7" i="51"/>
  <c r="M7" i="51"/>
  <c r="P7" i="51"/>
  <c r="Q7" i="51"/>
  <c r="R7" i="51"/>
  <c r="D8" i="51"/>
  <c r="E8" i="51"/>
  <c r="F8" i="51"/>
  <c r="L8" i="51"/>
  <c r="M8" i="51"/>
  <c r="P8" i="51"/>
  <c r="Q8" i="51"/>
  <c r="R8" i="51"/>
  <c r="D9" i="51"/>
  <c r="E9" i="51"/>
  <c r="F9" i="51"/>
  <c r="L9" i="51"/>
  <c r="M9" i="51"/>
  <c r="P9" i="51"/>
  <c r="Q9" i="51"/>
  <c r="R9" i="51"/>
  <c r="D8" i="50"/>
  <c r="P9" i="74" s="1"/>
  <c r="E8" i="50"/>
  <c r="F8" i="50"/>
  <c r="L8" i="50"/>
  <c r="M8" i="50"/>
  <c r="P8" i="50"/>
  <c r="Q8" i="50"/>
  <c r="R8" i="50"/>
  <c r="Z8" i="50"/>
  <c r="AJ8" i="50" s="1"/>
  <c r="Y8" i="53" s="1"/>
  <c r="AA8" i="50"/>
  <c r="AK8" i="50" s="1"/>
  <c r="Z8" i="53" s="1"/>
  <c r="AB8" i="50"/>
  <c r="AL8" i="50" s="1"/>
  <c r="AA8" i="53" s="1"/>
  <c r="AC8" i="50"/>
  <c r="AM8" i="50" s="1"/>
  <c r="AB8" i="53" s="1"/>
  <c r="D9" i="50"/>
  <c r="P10" i="74" s="1"/>
  <c r="E9" i="50"/>
  <c r="F9" i="50"/>
  <c r="L9" i="50"/>
  <c r="M9" i="50"/>
  <c r="P9" i="50"/>
  <c r="Q9" i="50"/>
  <c r="R9" i="50"/>
  <c r="Z9" i="50"/>
  <c r="AJ9" i="50" s="1"/>
  <c r="Y9" i="53" s="1"/>
  <c r="AA9" i="50"/>
  <c r="AK9" i="50" s="1"/>
  <c r="Z9" i="53" s="1"/>
  <c r="AB9" i="50"/>
  <c r="AL9" i="50" s="1"/>
  <c r="AA9" i="53" s="1"/>
  <c r="AC9" i="50"/>
  <c r="AM9" i="50" s="1"/>
  <c r="AB9" i="53" s="1"/>
  <c r="AD7" i="57" l="1"/>
  <c r="AC9" i="54"/>
  <c r="AC8" i="54"/>
  <c r="AC6" i="57"/>
  <c r="AC7" i="57"/>
  <c r="U7" i="58"/>
  <c r="V7" i="58"/>
  <c r="V6" i="58"/>
  <c r="AB9" i="54"/>
  <c r="AB8" i="54"/>
  <c r="K14" i="13"/>
  <c r="K15" i="13"/>
  <c r="K16" i="13"/>
  <c r="K17" i="13"/>
  <c r="K18" i="13"/>
  <c r="K19" i="13"/>
  <c r="K20" i="13"/>
  <c r="K21" i="13"/>
  <c r="K23" i="13"/>
  <c r="K24" i="13"/>
  <c r="K25" i="13"/>
  <c r="N4" i="60"/>
  <c r="O4" i="60"/>
  <c r="K26" i="13"/>
  <c r="K27" i="13"/>
  <c r="K28" i="13"/>
  <c r="K29" i="13"/>
  <c r="K30" i="13"/>
  <c r="K31" i="13"/>
  <c r="K32" i="13"/>
  <c r="K33" i="13"/>
  <c r="K34" i="13"/>
  <c r="N5" i="60"/>
  <c r="O5" i="60"/>
  <c r="K35" i="13"/>
  <c r="N6" i="60"/>
  <c r="O6" i="60"/>
  <c r="K36" i="13"/>
  <c r="J5" i="60" l="1"/>
  <c r="I6" i="60"/>
  <c r="I4" i="60"/>
  <c r="I5" i="60"/>
  <c r="K6" i="60"/>
  <c r="K5" i="60"/>
  <c r="K4" i="60"/>
  <c r="J6" i="60"/>
  <c r="J4" i="60"/>
  <c r="Y3" i="57"/>
  <c r="Z3" i="57"/>
  <c r="Y4" i="57"/>
  <c r="Z4" i="57"/>
  <c r="Y5" i="57"/>
  <c r="Z5" i="57"/>
  <c r="Z2" i="57"/>
  <c r="Y2" i="57"/>
  <c r="D3" i="57"/>
  <c r="P21" i="74" s="1"/>
  <c r="E3" i="57"/>
  <c r="F3" i="57"/>
  <c r="I3" i="57"/>
  <c r="J3" i="57"/>
  <c r="L3" i="57"/>
  <c r="M3" i="57"/>
  <c r="N3" i="57"/>
  <c r="O3" i="57"/>
  <c r="P3" i="57"/>
  <c r="Q3" i="57"/>
  <c r="R3" i="57"/>
  <c r="X3" i="57"/>
  <c r="AE3" i="57"/>
  <c r="D4" i="57"/>
  <c r="P22" i="74" s="1"/>
  <c r="E4" i="57"/>
  <c r="F4" i="57"/>
  <c r="L4" i="57"/>
  <c r="M4" i="57"/>
  <c r="P4" i="57"/>
  <c r="Q4" i="57"/>
  <c r="R4" i="57"/>
  <c r="X4" i="57"/>
  <c r="AE4" i="57"/>
  <c r="D5" i="57"/>
  <c r="P23" i="74" s="1"/>
  <c r="E5" i="57"/>
  <c r="F5" i="57"/>
  <c r="L5" i="57"/>
  <c r="M5" i="57"/>
  <c r="P5" i="57"/>
  <c r="Q5" i="57"/>
  <c r="R5" i="57"/>
  <c r="X5" i="57"/>
  <c r="AE5" i="57"/>
  <c r="D3" i="69"/>
  <c r="E3" i="69"/>
  <c r="F3" i="69"/>
  <c r="I3" i="69"/>
  <c r="J3" i="69"/>
  <c r="K3" i="69"/>
  <c r="L3" i="69"/>
  <c r="M3" i="69"/>
  <c r="N3" i="69"/>
  <c r="O3" i="69"/>
  <c r="P3" i="69"/>
  <c r="Q3" i="69"/>
  <c r="R3" i="69"/>
  <c r="D4" i="69"/>
  <c r="E4" i="69"/>
  <c r="F4" i="69"/>
  <c r="I4" i="69"/>
  <c r="J4" i="69"/>
  <c r="K4" i="69"/>
  <c r="L4" i="69"/>
  <c r="M4" i="69"/>
  <c r="N4" i="69"/>
  <c r="O4" i="69"/>
  <c r="P4" i="69"/>
  <c r="Q4" i="69"/>
  <c r="R4" i="69"/>
  <c r="D5" i="69"/>
  <c r="E5" i="69"/>
  <c r="F5" i="69"/>
  <c r="L5" i="69"/>
  <c r="M5" i="69"/>
  <c r="P5" i="69"/>
  <c r="Q5" i="69"/>
  <c r="R5" i="69"/>
  <c r="D6" i="69"/>
  <c r="E6" i="69"/>
  <c r="F6" i="69"/>
  <c r="I6" i="69"/>
  <c r="J6" i="69"/>
  <c r="K6" i="69"/>
  <c r="L6" i="69"/>
  <c r="M6" i="69"/>
  <c r="N6" i="69"/>
  <c r="O6" i="69"/>
  <c r="P6" i="69"/>
  <c r="Q6" i="69"/>
  <c r="R6" i="69"/>
  <c r="D7" i="69"/>
  <c r="E7" i="69"/>
  <c r="F7" i="69"/>
  <c r="L7" i="69"/>
  <c r="M7" i="69"/>
  <c r="P7" i="69"/>
  <c r="Q7" i="69"/>
  <c r="R7" i="69"/>
  <c r="D6" i="56"/>
  <c r="E6" i="56"/>
  <c r="F6" i="56"/>
  <c r="L6" i="56"/>
  <c r="M6" i="56"/>
  <c r="P6" i="56"/>
  <c r="Q6" i="56"/>
  <c r="R6" i="56"/>
  <c r="D7" i="56"/>
  <c r="E7" i="56"/>
  <c r="F7" i="56"/>
  <c r="L7" i="56"/>
  <c r="M7" i="56"/>
  <c r="P7" i="56"/>
  <c r="Q7" i="56"/>
  <c r="R7" i="56"/>
  <c r="D6" i="55"/>
  <c r="E6" i="55"/>
  <c r="F6" i="55"/>
  <c r="L6" i="55"/>
  <c r="M6" i="55"/>
  <c r="P6" i="55"/>
  <c r="Q6" i="55"/>
  <c r="R6" i="55"/>
  <c r="D7" i="55"/>
  <c r="E7" i="55"/>
  <c r="F7" i="55"/>
  <c r="L7" i="55"/>
  <c r="M7" i="55"/>
  <c r="P7" i="55"/>
  <c r="Q7" i="55"/>
  <c r="R7" i="55"/>
  <c r="D6" i="54"/>
  <c r="E6" i="54"/>
  <c r="F6" i="54"/>
  <c r="L6" i="54"/>
  <c r="M6" i="54"/>
  <c r="P6" i="54"/>
  <c r="Q6" i="54"/>
  <c r="R6" i="54"/>
  <c r="T6" i="54"/>
  <c r="AA6" i="54" s="1"/>
  <c r="W6" i="54"/>
  <c r="X6" i="54" s="1"/>
  <c r="D7" i="54"/>
  <c r="E7" i="54"/>
  <c r="F7" i="54"/>
  <c r="L7" i="54"/>
  <c r="M7" i="54"/>
  <c r="P7" i="54"/>
  <c r="Q7" i="54"/>
  <c r="R7" i="54"/>
  <c r="T7" i="54"/>
  <c r="AA7" i="54" s="1"/>
  <c r="W7" i="54"/>
  <c r="X7" i="54" s="1"/>
  <c r="Z5" i="50"/>
  <c r="AJ5" i="50" s="1"/>
  <c r="Y5" i="53" s="1"/>
  <c r="AA5" i="50"/>
  <c r="AK5" i="50" s="1"/>
  <c r="Z5" i="53" s="1"/>
  <c r="AB5" i="50"/>
  <c r="AL5" i="50" s="1"/>
  <c r="AA5" i="53" s="1"/>
  <c r="AC5" i="50"/>
  <c r="AM5" i="50" s="1"/>
  <c r="AB5" i="53" s="1"/>
  <c r="Z6" i="50"/>
  <c r="AJ6" i="50" s="1"/>
  <c r="Y6" i="53" s="1"/>
  <c r="AA6" i="50"/>
  <c r="AK6" i="50" s="1"/>
  <c r="Z6" i="53" s="1"/>
  <c r="AB6" i="50"/>
  <c r="AL6" i="50" s="1"/>
  <c r="AA6" i="53" s="1"/>
  <c r="AC6" i="50"/>
  <c r="AM6" i="50" s="1"/>
  <c r="AB6" i="53" s="1"/>
  <c r="Z7" i="50"/>
  <c r="AJ7" i="50" s="1"/>
  <c r="Y7" i="53" s="1"/>
  <c r="AA7" i="50"/>
  <c r="AK7" i="50" s="1"/>
  <c r="Z7" i="53" s="1"/>
  <c r="AB7" i="50"/>
  <c r="AL7" i="50" s="1"/>
  <c r="AA7" i="53" s="1"/>
  <c r="AC7" i="50"/>
  <c r="AM7" i="50" s="1"/>
  <c r="AB7" i="53" s="1"/>
  <c r="W3" i="53"/>
  <c r="W4" i="53"/>
  <c r="W5" i="53"/>
  <c r="W6" i="53"/>
  <c r="W7" i="53"/>
  <c r="D6" i="53"/>
  <c r="E6" i="53"/>
  <c r="F6" i="53"/>
  <c r="L6" i="53"/>
  <c r="M6" i="53"/>
  <c r="P6" i="53"/>
  <c r="Q6" i="53"/>
  <c r="R6" i="53"/>
  <c r="T6" i="53"/>
  <c r="U6" i="55" s="1"/>
  <c r="AC6" i="55" s="1"/>
  <c r="U6" i="53"/>
  <c r="D7" i="53"/>
  <c r="E7" i="53"/>
  <c r="F7" i="53"/>
  <c r="L7" i="53"/>
  <c r="M7" i="53"/>
  <c r="P7" i="53"/>
  <c r="Q7" i="53"/>
  <c r="R7" i="53"/>
  <c r="T7" i="53"/>
  <c r="U7" i="55" s="1"/>
  <c r="AC7" i="55" s="1"/>
  <c r="U7" i="53"/>
  <c r="D6" i="52"/>
  <c r="E6" i="52"/>
  <c r="F6" i="52"/>
  <c r="L6" i="52"/>
  <c r="M6" i="52"/>
  <c r="P6" i="52"/>
  <c r="Q6" i="52"/>
  <c r="R6" i="52"/>
  <c r="D7" i="52"/>
  <c r="E7" i="52"/>
  <c r="F7" i="52"/>
  <c r="L7" i="52"/>
  <c r="M7" i="52"/>
  <c r="P7" i="52"/>
  <c r="Q7" i="52"/>
  <c r="R7" i="52"/>
  <c r="D5" i="51"/>
  <c r="E5" i="51"/>
  <c r="F5" i="51"/>
  <c r="L5" i="51"/>
  <c r="M5" i="51"/>
  <c r="P5" i="51"/>
  <c r="Q5" i="51"/>
  <c r="R5" i="51"/>
  <c r="D6" i="51"/>
  <c r="E6" i="51"/>
  <c r="F6" i="51"/>
  <c r="L6" i="51"/>
  <c r="M6" i="51"/>
  <c r="P6" i="51"/>
  <c r="Q6" i="51"/>
  <c r="R6" i="51"/>
  <c r="D6" i="50"/>
  <c r="P7" i="74" s="1"/>
  <c r="E6" i="50"/>
  <c r="F6" i="50"/>
  <c r="L6" i="50"/>
  <c r="M6" i="50"/>
  <c r="P6" i="50"/>
  <c r="Q6" i="50"/>
  <c r="R6" i="50"/>
  <c r="D7" i="50"/>
  <c r="P8" i="74" s="1"/>
  <c r="E7" i="50"/>
  <c r="F7" i="50"/>
  <c r="L7" i="50"/>
  <c r="M7" i="50"/>
  <c r="P7" i="50"/>
  <c r="Q7" i="50"/>
  <c r="R7" i="50"/>
  <c r="D3" i="58"/>
  <c r="E3" i="58"/>
  <c r="F3" i="58"/>
  <c r="I3" i="58"/>
  <c r="J3" i="58"/>
  <c r="L3" i="58"/>
  <c r="M3" i="58"/>
  <c r="N3" i="58"/>
  <c r="O3" i="58"/>
  <c r="P3" i="58"/>
  <c r="Q3" i="58"/>
  <c r="R3" i="58"/>
  <c r="T3" i="58"/>
  <c r="D4" i="58"/>
  <c r="E4" i="58"/>
  <c r="F4" i="58"/>
  <c r="L4" i="58"/>
  <c r="M4" i="58"/>
  <c r="P4" i="58"/>
  <c r="Q4" i="58"/>
  <c r="R4" i="58"/>
  <c r="U4" i="58"/>
  <c r="D5" i="58"/>
  <c r="E5" i="58"/>
  <c r="F5" i="58"/>
  <c r="L5" i="58"/>
  <c r="M5" i="58"/>
  <c r="P5" i="58"/>
  <c r="Q5" i="58"/>
  <c r="R5" i="58"/>
  <c r="T5" i="58"/>
  <c r="D3" i="59"/>
  <c r="E3" i="59"/>
  <c r="F3" i="59"/>
  <c r="I3" i="59"/>
  <c r="J3" i="59"/>
  <c r="L3" i="59"/>
  <c r="M3" i="59"/>
  <c r="N3" i="59"/>
  <c r="O3" i="59"/>
  <c r="P3" i="59"/>
  <c r="Q3" i="59"/>
  <c r="R3" i="59"/>
  <c r="D4" i="59"/>
  <c r="E4" i="59"/>
  <c r="F4" i="59"/>
  <c r="L4" i="59"/>
  <c r="M4" i="59"/>
  <c r="P4" i="59"/>
  <c r="Q4" i="59"/>
  <c r="R4" i="59"/>
  <c r="D5" i="59"/>
  <c r="E5" i="59"/>
  <c r="F5" i="59"/>
  <c r="L5" i="59"/>
  <c r="M5" i="59"/>
  <c r="P5" i="59"/>
  <c r="Q5" i="59"/>
  <c r="R5" i="59"/>
  <c r="D3" i="60"/>
  <c r="E3" i="60"/>
  <c r="F3" i="60"/>
  <c r="I3" i="60"/>
  <c r="J3" i="60"/>
  <c r="L3" i="60"/>
  <c r="M3" i="60"/>
  <c r="N3" i="60"/>
  <c r="O3" i="60"/>
  <c r="P3" i="60"/>
  <c r="Q3" i="60"/>
  <c r="R3" i="60"/>
  <c r="AC4" i="57" l="1"/>
  <c r="AC3" i="57"/>
  <c r="AB7" i="54"/>
  <c r="Z7" i="54"/>
  <c r="AB6" i="54"/>
  <c r="Z6" i="54"/>
  <c r="AC7" i="54"/>
  <c r="AC6" i="54"/>
  <c r="AD3" i="57"/>
  <c r="AD5" i="57"/>
  <c r="U5" i="58"/>
  <c r="V4" i="58"/>
  <c r="T4" i="58"/>
  <c r="U3" i="58"/>
  <c r="V5" i="58"/>
  <c r="V3" i="58"/>
  <c r="AC5" i="57"/>
  <c r="AD4" i="57"/>
  <c r="T3" i="13"/>
  <c r="U3" i="13"/>
  <c r="AX12" i="50"/>
  <c r="AY12" i="50"/>
  <c r="AW12" i="50"/>
  <c r="K59" i="13" l="1"/>
  <c r="N70" i="49" s="1"/>
  <c r="N7" i="50"/>
  <c r="K51" i="13"/>
  <c r="N6" i="51"/>
  <c r="K43" i="13"/>
  <c r="N54" i="49" l="1"/>
  <c r="L54" i="49" s="1"/>
  <c r="N62" i="49"/>
  <c r="M62" i="49" s="1"/>
  <c r="M54" i="49"/>
  <c r="M70" i="49"/>
  <c r="L70" i="49"/>
  <c r="J7" i="50"/>
  <c r="O7" i="50"/>
  <c r="I7" i="50"/>
  <c r="K9" i="13"/>
  <c r="N5" i="69"/>
  <c r="O6" i="51"/>
  <c r="O5" i="69"/>
  <c r="AT5" i="50"/>
  <c r="BA5" i="50" s="1"/>
  <c r="AS5" i="50"/>
  <c r="BB5" i="50" s="1"/>
  <c r="L62" i="49" l="1"/>
  <c r="AY5" i="50"/>
  <c r="AZ5" i="50"/>
  <c r="H2" i="64" l="1"/>
  <c r="C2" i="64"/>
  <c r="X2" i="57" l="1"/>
  <c r="K42" i="13"/>
  <c r="K5" i="69" s="1"/>
  <c r="K52" i="13"/>
  <c r="N7" i="52"/>
  <c r="K61" i="13"/>
  <c r="N72" i="49" s="1"/>
  <c r="O7" i="52"/>
  <c r="N53" i="49" l="1"/>
  <c r="M53" i="49" s="1"/>
  <c r="I5" i="69"/>
  <c r="J5" i="69"/>
  <c r="N63" i="49"/>
  <c r="L63" i="49" s="1"/>
  <c r="M72" i="49"/>
  <c r="L72" i="49"/>
  <c r="J7" i="52"/>
  <c r="N6" i="53"/>
  <c r="N6" i="54"/>
  <c r="V2" i="58"/>
  <c r="U2" i="58"/>
  <c r="T2" i="58"/>
  <c r="I7" i="52"/>
  <c r="M63" i="49" l="1"/>
  <c r="L53" i="49"/>
  <c r="O6" i="54"/>
  <c r="O6" i="53"/>
  <c r="K10" i="13"/>
  <c r="E38" i="49"/>
  <c r="Q38" i="49"/>
  <c r="R38" i="49"/>
  <c r="X38" i="49"/>
  <c r="E39" i="49"/>
  <c r="N39" i="49"/>
  <c r="L39" i="49" s="1"/>
  <c r="Q39" i="49"/>
  <c r="R39" i="49"/>
  <c r="X39" i="49"/>
  <c r="E40" i="49"/>
  <c r="N40" i="49"/>
  <c r="L40" i="49" s="1"/>
  <c r="Q40" i="49"/>
  <c r="R40" i="49"/>
  <c r="X40" i="49"/>
  <c r="E41" i="49"/>
  <c r="Q41" i="49"/>
  <c r="R41" i="49"/>
  <c r="X41" i="49"/>
  <c r="E42" i="49"/>
  <c r="Q42" i="49"/>
  <c r="R42" i="49"/>
  <c r="X42" i="49"/>
  <c r="E43" i="49"/>
  <c r="Q43" i="49"/>
  <c r="R43" i="49"/>
  <c r="X43" i="49"/>
  <c r="E44" i="49"/>
  <c r="Q44" i="49"/>
  <c r="R44" i="49"/>
  <c r="X44" i="49"/>
  <c r="E45" i="49"/>
  <c r="Q45" i="49"/>
  <c r="R45" i="49"/>
  <c r="X45" i="49"/>
  <c r="E46" i="49"/>
  <c r="Q46" i="49"/>
  <c r="R46" i="49"/>
  <c r="X46" i="49"/>
  <c r="E47" i="49"/>
  <c r="Q47" i="49"/>
  <c r="R47" i="49"/>
  <c r="X47" i="49"/>
  <c r="E48" i="49"/>
  <c r="Q48" i="49"/>
  <c r="R48" i="49"/>
  <c r="X48" i="49"/>
  <c r="E49" i="49"/>
  <c r="Q49" i="49"/>
  <c r="R49" i="49"/>
  <c r="X49" i="49"/>
  <c r="D5" i="56"/>
  <c r="E5" i="56"/>
  <c r="F5" i="56"/>
  <c r="L5" i="56"/>
  <c r="M5" i="56"/>
  <c r="P5" i="56"/>
  <c r="Q5" i="56"/>
  <c r="R5" i="56"/>
  <c r="D5" i="55"/>
  <c r="E5" i="55"/>
  <c r="F5" i="55"/>
  <c r="L5" i="55"/>
  <c r="M5" i="55"/>
  <c r="P5" i="55"/>
  <c r="Q5" i="55"/>
  <c r="R5" i="55"/>
  <c r="M40" i="49" l="1"/>
  <c r="M39" i="49"/>
  <c r="D5" i="54"/>
  <c r="E5" i="54"/>
  <c r="F5" i="54"/>
  <c r="L5" i="54"/>
  <c r="M5" i="54"/>
  <c r="P5" i="54"/>
  <c r="Q5" i="54"/>
  <c r="R5" i="54"/>
  <c r="T5" i="54"/>
  <c r="W5" i="54"/>
  <c r="X5" i="54" s="1"/>
  <c r="W2" i="53"/>
  <c r="U3" i="53"/>
  <c r="U4" i="53"/>
  <c r="U5" i="53"/>
  <c r="U2" i="53"/>
  <c r="AA5" i="54" l="1"/>
  <c r="AC5" i="54"/>
  <c r="Z5" i="54"/>
  <c r="AB5" i="54"/>
  <c r="T3" i="53"/>
  <c r="U3" i="55" s="1"/>
  <c r="T4" i="53"/>
  <c r="U4" i="55" s="1"/>
  <c r="T5" i="53"/>
  <c r="T2" i="53"/>
  <c r="D5" i="53"/>
  <c r="E5" i="53"/>
  <c r="F5" i="53"/>
  <c r="L5" i="53"/>
  <c r="M5" i="53"/>
  <c r="P5" i="53"/>
  <c r="Q5" i="53"/>
  <c r="R5" i="53"/>
  <c r="D5" i="52"/>
  <c r="E5" i="52"/>
  <c r="F5" i="52"/>
  <c r="L5" i="52"/>
  <c r="M5" i="52"/>
  <c r="P5" i="52"/>
  <c r="Q5" i="52"/>
  <c r="R5" i="52"/>
  <c r="D5" i="50"/>
  <c r="P6" i="74" s="1"/>
  <c r="E5" i="50"/>
  <c r="F5" i="50"/>
  <c r="L5" i="50"/>
  <c r="M5" i="50"/>
  <c r="P5" i="50"/>
  <c r="Q5" i="50"/>
  <c r="R5" i="50"/>
  <c r="O8" i="52"/>
  <c r="N8" i="52"/>
  <c r="K71" i="13"/>
  <c r="O8" i="50"/>
  <c r="N8" i="50"/>
  <c r="K70" i="13"/>
  <c r="N81" i="49" s="1"/>
  <c r="O6" i="59"/>
  <c r="N6" i="59"/>
  <c r="K69" i="13"/>
  <c r="N80" i="49" s="1"/>
  <c r="O6" i="58"/>
  <c r="N6" i="58"/>
  <c r="K68" i="13"/>
  <c r="N79" i="49" s="1"/>
  <c r="O6" i="57"/>
  <c r="N6" i="57"/>
  <c r="K67" i="13"/>
  <c r="N78" i="49" s="1"/>
  <c r="O7" i="56"/>
  <c r="N7" i="56"/>
  <c r="K66" i="13"/>
  <c r="N77" i="49" s="1"/>
  <c r="O7" i="69"/>
  <c r="N7" i="69"/>
  <c r="K65" i="13"/>
  <c r="N76" i="49" s="1"/>
  <c r="L77" i="49" l="1"/>
  <c r="M77" i="49"/>
  <c r="L79" i="49"/>
  <c r="M79" i="49"/>
  <c r="L81" i="49"/>
  <c r="M81" i="49"/>
  <c r="M76" i="49"/>
  <c r="L76" i="49"/>
  <c r="M78" i="49"/>
  <c r="L78" i="49"/>
  <c r="M80" i="49"/>
  <c r="L80" i="49"/>
  <c r="K10" i="50"/>
  <c r="N82" i="49"/>
  <c r="U5" i="55"/>
  <c r="AC5" i="55" s="1"/>
  <c r="J6" i="57"/>
  <c r="K6" i="57"/>
  <c r="J6" i="59"/>
  <c r="K6" i="59"/>
  <c r="J8" i="52"/>
  <c r="J7" i="69"/>
  <c r="J7" i="56"/>
  <c r="J6" i="58"/>
  <c r="K6" i="58"/>
  <c r="J8" i="50"/>
  <c r="I7" i="69"/>
  <c r="I7" i="56"/>
  <c r="I6" i="57"/>
  <c r="I6" i="58"/>
  <c r="I6" i="59"/>
  <c r="I8" i="50"/>
  <c r="I8" i="52"/>
  <c r="M82" i="49" l="1"/>
  <c r="L82" i="49"/>
  <c r="W3" i="54"/>
  <c r="X3" i="54" s="1"/>
  <c r="W4" i="54"/>
  <c r="X4" i="54" s="1"/>
  <c r="T2" i="54"/>
  <c r="T3" i="54"/>
  <c r="T4" i="54"/>
  <c r="K54" i="13"/>
  <c r="K44" i="13"/>
  <c r="K11" i="13"/>
  <c r="N55" i="49" l="1"/>
  <c r="L55" i="49" s="1"/>
  <c r="N65" i="49"/>
  <c r="N6" i="55"/>
  <c r="A69" i="71"/>
  <c r="A23" i="71"/>
  <c r="E15" i="49"/>
  <c r="E16" i="49"/>
  <c r="E17" i="49"/>
  <c r="E18" i="49"/>
  <c r="E19" i="49"/>
  <c r="E20" i="49"/>
  <c r="N20" i="49"/>
  <c r="L20" i="49" s="1"/>
  <c r="E21" i="49"/>
  <c r="N21" i="49"/>
  <c r="L21" i="49" s="1"/>
  <c r="E22" i="49"/>
  <c r="E23" i="49"/>
  <c r="E24" i="49"/>
  <c r="E25" i="49"/>
  <c r="E26" i="49"/>
  <c r="E27" i="49"/>
  <c r="E28" i="49"/>
  <c r="E29" i="49"/>
  <c r="E30" i="49"/>
  <c r="E31" i="49"/>
  <c r="E32" i="49"/>
  <c r="E33" i="49"/>
  <c r="E34" i="49"/>
  <c r="E35" i="49"/>
  <c r="E36" i="49"/>
  <c r="E37" i="49"/>
  <c r="M55" i="49" l="1"/>
  <c r="L65" i="49"/>
  <c r="M65" i="49"/>
  <c r="H22" i="13"/>
  <c r="G22" i="13"/>
  <c r="O6" i="55"/>
  <c r="H14" i="13"/>
  <c r="G14" i="13"/>
  <c r="G9" i="13"/>
  <c r="H9" i="13"/>
  <c r="H10" i="13"/>
  <c r="G10" i="13"/>
  <c r="M20" i="49"/>
  <c r="M21" i="49"/>
  <c r="A23" i="70"/>
  <c r="A263" i="66"/>
  <c r="A139" i="66"/>
  <c r="A25" i="66"/>
  <c r="A805" i="64"/>
  <c r="A706" i="64"/>
  <c r="A505" i="64"/>
  <c r="A383" i="64"/>
  <c r="A264" i="64"/>
  <c r="A139" i="64"/>
  <c r="A24" i="64"/>
  <c r="J45" i="64"/>
  <c r="D2" i="64"/>
  <c r="E2" i="64" s="1"/>
  <c r="F2" i="64" s="1"/>
  <c r="G2" i="64" s="1"/>
  <c r="J606" i="64" s="1"/>
  <c r="J160" i="64"/>
  <c r="G118" i="70"/>
  <c r="A69" i="70"/>
  <c r="G15" i="13" l="1"/>
  <c r="H15" i="13"/>
  <c r="B83" i="64"/>
  <c r="E84" i="64"/>
  <c r="H84" i="64" s="1"/>
  <c r="J526" i="64"/>
  <c r="J285" i="64"/>
  <c r="J404" i="64"/>
  <c r="I2" i="64"/>
  <c r="J826" i="64" s="1"/>
  <c r="J727" i="64"/>
  <c r="K97" i="13"/>
  <c r="N97" i="13"/>
  <c r="O97" i="13"/>
  <c r="A751" i="64"/>
  <c r="K86" i="13"/>
  <c r="O86" i="13"/>
  <c r="K75" i="13"/>
  <c r="N8" i="55"/>
  <c r="K49" i="13"/>
  <c r="N6" i="50"/>
  <c r="K12" i="13"/>
  <c r="R2" i="69"/>
  <c r="Q2" i="69"/>
  <c r="P2" i="69"/>
  <c r="O2" i="69"/>
  <c r="M2" i="69"/>
  <c r="L2" i="69"/>
  <c r="F2" i="69"/>
  <c r="E2" i="69"/>
  <c r="D2" i="69"/>
  <c r="N97" i="49" l="1"/>
  <c r="N60" i="49"/>
  <c r="M60" i="49" s="1"/>
  <c r="N86" i="49"/>
  <c r="B442" i="64"/>
  <c r="B445" i="64"/>
  <c r="B443" i="64"/>
  <c r="G16" i="13"/>
  <c r="H16" i="13"/>
  <c r="X6" i="55"/>
  <c r="V6" i="55"/>
  <c r="W6" i="55"/>
  <c r="W5" i="55"/>
  <c r="X5" i="55"/>
  <c r="V5" i="55"/>
  <c r="A691" i="64"/>
  <c r="A703" i="64"/>
  <c r="N86" i="13"/>
  <c r="I8" i="55"/>
  <c r="O8" i="55"/>
  <c r="J8" i="55"/>
  <c r="O6" i="50"/>
  <c r="K2" i="69"/>
  <c r="L97" i="49" l="1"/>
  <c r="M97" i="49"/>
  <c r="L60" i="49"/>
  <c r="M86" i="49"/>
  <c r="L86" i="49"/>
  <c r="V8" i="55"/>
  <c r="W8" i="55"/>
  <c r="X8" i="55"/>
  <c r="H17" i="13"/>
  <c r="G17" i="13"/>
  <c r="W7" i="55"/>
  <c r="X7" i="55"/>
  <c r="V7" i="55"/>
  <c r="J2" i="69"/>
  <c r="N2" i="69"/>
  <c r="A705" i="64" s="1"/>
  <c r="I2" i="69"/>
  <c r="E688" i="64" s="1"/>
  <c r="R2" i="67"/>
  <c r="Q2" i="67"/>
  <c r="M2" i="67"/>
  <c r="L2" i="67"/>
  <c r="F2" i="67"/>
  <c r="E2" i="67"/>
  <c r="D2" i="67"/>
  <c r="V9" i="55" l="1"/>
  <c r="W9" i="55"/>
  <c r="X9" i="55"/>
  <c r="H18" i="13"/>
  <c r="G18" i="13"/>
  <c r="A54" i="71"/>
  <c r="A20" i="71"/>
  <c r="A8" i="71"/>
  <c r="G19" i="13" l="1"/>
  <c r="H19" i="13"/>
  <c r="E3" i="66"/>
  <c r="G20" i="13" l="1"/>
  <c r="H20" i="13"/>
  <c r="F3" i="66"/>
  <c r="H3" i="69" l="1"/>
  <c r="G3" i="69"/>
  <c r="H21" i="13"/>
  <c r="G21" i="13"/>
  <c r="K58" i="13"/>
  <c r="N69" i="49" s="1"/>
  <c r="K60" i="13"/>
  <c r="J46" i="66"/>
  <c r="J160" i="66"/>
  <c r="J284" i="66"/>
  <c r="L69" i="49" l="1"/>
  <c r="M69" i="49"/>
  <c r="K7" i="51"/>
  <c r="N71" i="49"/>
  <c r="A126" i="13"/>
  <c r="A127" i="13" s="1"/>
  <c r="A128" i="13" s="1"/>
  <c r="A129" i="13" s="1"/>
  <c r="A130" i="13" s="1"/>
  <c r="A131"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1" i="13" s="1"/>
  <c r="A172" i="13" s="1"/>
  <c r="A173" i="13" s="1"/>
  <c r="A174" i="13" s="1"/>
  <c r="A175" i="13" s="1"/>
  <c r="A176" i="13" s="1"/>
  <c r="A177" i="13" s="1"/>
  <c r="A178" i="13" s="1"/>
  <c r="A179" i="13" s="1"/>
  <c r="A180" i="13" s="1"/>
  <c r="A181" i="13" s="1"/>
  <c r="A182" i="13" s="1"/>
  <c r="A183" i="13" s="1"/>
  <c r="A184" i="13" s="1"/>
  <c r="A185" i="13" s="1"/>
  <c r="A186" i="13" s="1"/>
  <c r="A187" i="13" s="1"/>
  <c r="A188" i="13" s="1"/>
  <c r="A189" i="13" s="1"/>
  <c r="A190" i="13" s="1"/>
  <c r="A191" i="13" s="1"/>
  <c r="A192" i="13" s="1"/>
  <c r="A193" i="13" s="1"/>
  <c r="A194" i="13" s="1"/>
  <c r="A195" i="13" s="1"/>
  <c r="A196" i="13" s="1"/>
  <c r="A197" i="13" s="1"/>
  <c r="A198" i="13" s="1"/>
  <c r="A199" i="13" s="1"/>
  <c r="A200"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3" i="13" s="1"/>
  <c r="A224" i="13" s="1"/>
  <c r="A225" i="13" s="1"/>
  <c r="A226" i="13" s="1"/>
  <c r="A227" i="13" s="1"/>
  <c r="A228" i="13" s="1"/>
  <c r="A229" i="13" s="1"/>
  <c r="A230" i="13" s="1"/>
  <c r="A231" i="13" s="1"/>
  <c r="A232" i="13" s="1"/>
  <c r="A233" i="13" s="1"/>
  <c r="A234"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0"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4"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4" i="13" s="1"/>
  <c r="A305" i="13" s="1"/>
  <c r="A306" i="13" s="1"/>
  <c r="A307" i="13" s="1"/>
  <c r="A308" i="13" s="1"/>
  <c r="O5" i="56"/>
  <c r="O7" i="51"/>
  <c r="O5" i="55"/>
  <c r="O5" i="59"/>
  <c r="N5" i="56"/>
  <c r="N7" i="51"/>
  <c r="N5" i="55"/>
  <c r="N5" i="59"/>
  <c r="H23" i="13"/>
  <c r="G23" i="13"/>
  <c r="K5" i="56"/>
  <c r="A750" i="64"/>
  <c r="A749" i="64"/>
  <c r="A736" i="64"/>
  <c r="F726" i="64"/>
  <c r="C204" i="66"/>
  <c r="B84" i="66"/>
  <c r="A200" i="66"/>
  <c r="A70" i="66"/>
  <c r="A186" i="66" s="1"/>
  <c r="A308" i="66" s="1"/>
  <c r="A646" i="64"/>
  <c r="A69" i="64"/>
  <c r="A184" i="64" s="1"/>
  <c r="A309" i="64" s="1"/>
  <c r="A428" i="64" s="1"/>
  <c r="A550" i="64" s="1"/>
  <c r="A632" i="64" s="1"/>
  <c r="A850" i="64" s="1"/>
  <c r="L71" i="49" l="1"/>
  <c r="M71" i="49"/>
  <c r="I5" i="56"/>
  <c r="I7" i="51"/>
  <c r="J5" i="56"/>
  <c r="J7" i="51"/>
  <c r="G24" i="13"/>
  <c r="H24" i="13"/>
  <c r="D84" i="66"/>
  <c r="B83" i="66"/>
  <c r="A589" i="64"/>
  <c r="A201" i="66"/>
  <c r="G25" i="13" l="1"/>
  <c r="H25" i="13"/>
  <c r="H26" i="13" l="1"/>
  <c r="G26" i="13"/>
  <c r="X21" i="49"/>
  <c r="H27" i="13" l="1"/>
  <c r="G27" i="13"/>
  <c r="V21" i="49"/>
  <c r="W21" i="49"/>
  <c r="G28" i="13" l="1"/>
  <c r="H28" i="13"/>
  <c r="K53" i="13"/>
  <c r="K6" i="55" s="1"/>
  <c r="I6" i="55" l="1"/>
  <c r="J6" i="55"/>
  <c r="N41" i="49"/>
  <c r="M41" i="49" s="1"/>
  <c r="N64" i="49"/>
  <c r="G29" i="13"/>
  <c r="H29" i="13"/>
  <c r="L41" i="49" l="1"/>
  <c r="M64" i="49"/>
  <c r="L64" i="49"/>
  <c r="H30" i="13"/>
  <c r="G30" i="13"/>
  <c r="H31" i="13" l="1"/>
  <c r="G31" i="13"/>
  <c r="Z3" i="54"/>
  <c r="Z4" i="54"/>
  <c r="C583" i="64"/>
  <c r="AC2" i="54"/>
  <c r="U2" i="55"/>
  <c r="D650" i="64" s="1"/>
  <c r="G32" i="13" l="1"/>
  <c r="G4" i="69" s="1"/>
  <c r="H32" i="13"/>
  <c r="H4" i="69" s="1"/>
  <c r="Z2" i="54"/>
  <c r="AB2" i="54"/>
  <c r="AC4" i="54"/>
  <c r="AA4" i="54"/>
  <c r="AC3" i="54"/>
  <c r="AA3" i="54"/>
  <c r="AA2" i="54"/>
  <c r="AB4" i="54"/>
  <c r="AB3" i="54"/>
  <c r="F585" i="64"/>
  <c r="C584" i="64"/>
  <c r="P2" i="67"/>
  <c r="Z3" i="50"/>
  <c r="AJ3" i="50" s="1"/>
  <c r="Y3" i="53" s="1"/>
  <c r="AA3" i="50"/>
  <c r="AK3" i="50" s="1"/>
  <c r="Z3" i="53" s="1"/>
  <c r="AB3" i="50"/>
  <c r="AL3" i="50" s="1"/>
  <c r="AA3" i="53" s="1"/>
  <c r="AC3" i="50"/>
  <c r="AM3" i="50" s="1"/>
  <c r="AB3" i="53" s="1"/>
  <c r="Z4" i="50"/>
  <c r="AJ4" i="50" s="1"/>
  <c r="Y4" i="53" s="1"/>
  <c r="AA4" i="50"/>
  <c r="AK4" i="50" s="1"/>
  <c r="Z4" i="53" s="1"/>
  <c r="AB4" i="50"/>
  <c r="AL4" i="50" s="1"/>
  <c r="AA4" i="53" s="1"/>
  <c r="AC4" i="50"/>
  <c r="AM4" i="50" s="1"/>
  <c r="AB4" i="53" s="1"/>
  <c r="AC2" i="50"/>
  <c r="AB2" i="50"/>
  <c r="AA2" i="50"/>
  <c r="Z2" i="50"/>
  <c r="C585" i="64" l="1"/>
  <c r="F584" i="64"/>
  <c r="G33" i="13"/>
  <c r="H33" i="13"/>
  <c r="X34" i="49"/>
  <c r="H34" i="13" l="1"/>
  <c r="G34" i="13"/>
  <c r="K55" i="13"/>
  <c r="K56" i="13"/>
  <c r="K57" i="13"/>
  <c r="K62" i="13"/>
  <c r="N73" i="49" s="1"/>
  <c r="K63" i="13"/>
  <c r="N74" i="49" s="1"/>
  <c r="K64" i="13"/>
  <c r="K7" i="69" s="1"/>
  <c r="K72" i="13"/>
  <c r="K73" i="13"/>
  <c r="K74" i="13"/>
  <c r="K8" i="55" s="1"/>
  <c r="K76" i="13"/>
  <c r="K77" i="13"/>
  <c r="K78" i="13"/>
  <c r="K79" i="13"/>
  <c r="K80" i="13"/>
  <c r="K81" i="13"/>
  <c r="K82" i="13"/>
  <c r="K83" i="13"/>
  <c r="K84" i="13"/>
  <c r="N95" i="49" s="1"/>
  <c r="K85" i="13"/>
  <c r="K87" i="13"/>
  <c r="K88" i="13"/>
  <c r="K89" i="13"/>
  <c r="K4" i="67" s="1"/>
  <c r="K90" i="13"/>
  <c r="K91" i="13"/>
  <c r="K92" i="13"/>
  <c r="K93" i="13"/>
  <c r="K94" i="13"/>
  <c r="K95" i="13"/>
  <c r="K96" i="13"/>
  <c r="K98" i="13"/>
  <c r="K99" i="13"/>
  <c r="K100" i="13"/>
  <c r="K101" i="13"/>
  <c r="K102" i="13"/>
  <c r="K103" i="13"/>
  <c r="K104" i="13"/>
  <c r="K105" i="13"/>
  <c r="K106" i="13"/>
  <c r="K107" i="13"/>
  <c r="K108" i="13"/>
  <c r="K109" i="13"/>
  <c r="K110" i="13"/>
  <c r="K111" i="13"/>
  <c r="K112" i="13"/>
  <c r="K113" i="13"/>
  <c r="K114" i="13"/>
  <c r="K115" i="13"/>
  <c r="K116" i="13"/>
  <c r="K117" i="13"/>
  <c r="K118" i="13"/>
  <c r="K119" i="13"/>
  <c r="K120" i="13"/>
  <c r="K121" i="13"/>
  <c r="K122" i="13"/>
  <c r="K123" i="13"/>
  <c r="K124" i="13"/>
  <c r="K125" i="13"/>
  <c r="K126" i="13"/>
  <c r="K127" i="13"/>
  <c r="K128" i="13"/>
  <c r="K129" i="13"/>
  <c r="K130" i="13"/>
  <c r="K131" i="13"/>
  <c r="K132" i="13"/>
  <c r="K133" i="13"/>
  <c r="K134" i="13"/>
  <c r="K135" i="13"/>
  <c r="K136" i="13"/>
  <c r="K137" i="13"/>
  <c r="K138" i="13"/>
  <c r="K139" i="13"/>
  <c r="K140" i="13"/>
  <c r="K141" i="13"/>
  <c r="K142" i="13"/>
  <c r="K143" i="13"/>
  <c r="K144" i="13"/>
  <c r="K145" i="13"/>
  <c r="K146" i="13"/>
  <c r="K147" i="13"/>
  <c r="K148" i="13"/>
  <c r="K149" i="13"/>
  <c r="K150" i="13"/>
  <c r="K151" i="13"/>
  <c r="K152" i="13"/>
  <c r="K153" i="13"/>
  <c r="K154" i="13"/>
  <c r="K155" i="13"/>
  <c r="K156" i="13"/>
  <c r="K157" i="13"/>
  <c r="K158" i="13"/>
  <c r="K159" i="13"/>
  <c r="K160" i="13"/>
  <c r="K161" i="13"/>
  <c r="K162" i="13"/>
  <c r="K163" i="13"/>
  <c r="K164" i="13"/>
  <c r="K165" i="13"/>
  <c r="K166" i="13"/>
  <c r="K167" i="13"/>
  <c r="K168" i="13"/>
  <c r="K169" i="13"/>
  <c r="K170" i="13"/>
  <c r="K171" i="13"/>
  <c r="K172" i="13"/>
  <c r="K173" i="13"/>
  <c r="K174" i="13"/>
  <c r="K175" i="13"/>
  <c r="K176" i="13"/>
  <c r="K177" i="13"/>
  <c r="K178" i="13"/>
  <c r="K179" i="13"/>
  <c r="K180" i="13"/>
  <c r="K181" i="13"/>
  <c r="K182" i="13"/>
  <c r="K183" i="13"/>
  <c r="K184" i="13"/>
  <c r="K185" i="13"/>
  <c r="K186" i="13"/>
  <c r="K187" i="13"/>
  <c r="K188" i="13"/>
  <c r="K189" i="13"/>
  <c r="K190" i="13"/>
  <c r="K191" i="13"/>
  <c r="K192" i="13"/>
  <c r="K193" i="13"/>
  <c r="K194" i="13"/>
  <c r="K195" i="13"/>
  <c r="K196" i="13"/>
  <c r="K197" i="13"/>
  <c r="K198" i="13"/>
  <c r="K199" i="13"/>
  <c r="K200" i="13"/>
  <c r="K201" i="13"/>
  <c r="K202" i="13"/>
  <c r="K203" i="13"/>
  <c r="K204" i="13"/>
  <c r="K205" i="13"/>
  <c r="K206" i="13"/>
  <c r="K207" i="13"/>
  <c r="K208" i="13"/>
  <c r="K209" i="13"/>
  <c r="K210" i="13"/>
  <c r="K211" i="13"/>
  <c r="K212" i="13"/>
  <c r="K213" i="13"/>
  <c r="K214" i="13"/>
  <c r="K215" i="13"/>
  <c r="K216" i="13"/>
  <c r="K217" i="13"/>
  <c r="K218" i="13"/>
  <c r="K219" i="13"/>
  <c r="K220" i="13"/>
  <c r="K221" i="13"/>
  <c r="K222" i="13"/>
  <c r="K223" i="13"/>
  <c r="K224" i="13"/>
  <c r="K225" i="13"/>
  <c r="K226" i="13"/>
  <c r="K227" i="13"/>
  <c r="K228" i="13"/>
  <c r="K229" i="13"/>
  <c r="K230" i="13"/>
  <c r="K231" i="13"/>
  <c r="K232" i="13"/>
  <c r="K233" i="13"/>
  <c r="K234" i="13"/>
  <c r="K235" i="13"/>
  <c r="K236" i="13"/>
  <c r="K237" i="13"/>
  <c r="K238" i="13"/>
  <c r="K239" i="13"/>
  <c r="K240" i="13"/>
  <c r="K241" i="13"/>
  <c r="K242" i="13"/>
  <c r="K243" i="13"/>
  <c r="K244" i="13"/>
  <c r="K245" i="13"/>
  <c r="K246" i="13"/>
  <c r="K247" i="13"/>
  <c r="K248" i="13"/>
  <c r="K249" i="13"/>
  <c r="K250" i="13"/>
  <c r="K251" i="13"/>
  <c r="K252" i="13"/>
  <c r="K253" i="13"/>
  <c r="K254" i="13"/>
  <c r="K255" i="13"/>
  <c r="K256" i="13"/>
  <c r="K257" i="13"/>
  <c r="K258" i="13"/>
  <c r="K259" i="13"/>
  <c r="K260" i="13"/>
  <c r="K261" i="13"/>
  <c r="K262" i="13"/>
  <c r="K263" i="13"/>
  <c r="K264" i="13"/>
  <c r="K265" i="13"/>
  <c r="K266" i="13"/>
  <c r="K267" i="13"/>
  <c r="K268" i="13"/>
  <c r="K269" i="13"/>
  <c r="K270" i="13"/>
  <c r="K271" i="13"/>
  <c r="K272" i="13"/>
  <c r="K273" i="13"/>
  <c r="K274" i="13"/>
  <c r="K275" i="13"/>
  <c r="K276" i="13"/>
  <c r="K277" i="13"/>
  <c r="K278" i="13"/>
  <c r="K279" i="13"/>
  <c r="K280" i="13"/>
  <c r="K281" i="13"/>
  <c r="K282" i="13"/>
  <c r="K283" i="13"/>
  <c r="K284" i="13"/>
  <c r="K285" i="13"/>
  <c r="K286" i="13"/>
  <c r="K287" i="13"/>
  <c r="K288" i="13"/>
  <c r="K289" i="13"/>
  <c r="K290" i="13"/>
  <c r="K291" i="13"/>
  <c r="K292" i="13"/>
  <c r="K293" i="13"/>
  <c r="K294" i="13"/>
  <c r="K295" i="13"/>
  <c r="K296" i="13"/>
  <c r="K297" i="13"/>
  <c r="K298" i="13"/>
  <c r="K299" i="13"/>
  <c r="K300" i="13"/>
  <c r="K301" i="13"/>
  <c r="K302" i="13"/>
  <c r="K303" i="13"/>
  <c r="K304" i="13"/>
  <c r="K305" i="13"/>
  <c r="K306" i="13"/>
  <c r="K307" i="13"/>
  <c r="K308" i="13"/>
  <c r="K309" i="13"/>
  <c r="K310" i="13"/>
  <c r="K311" i="13"/>
  <c r="K312" i="13"/>
  <c r="K313" i="13"/>
  <c r="K314" i="13"/>
  <c r="K315" i="13"/>
  <c r="K316" i="13"/>
  <c r="K317" i="13"/>
  <c r="K318" i="13"/>
  <c r="K319" i="13"/>
  <c r="K320" i="13"/>
  <c r="K321" i="13"/>
  <c r="K322" i="13"/>
  <c r="K323" i="13"/>
  <c r="K324" i="13"/>
  <c r="K325" i="13"/>
  <c r="K326" i="13"/>
  <c r="K327" i="13"/>
  <c r="K328" i="13"/>
  <c r="K329" i="13"/>
  <c r="K330" i="13"/>
  <c r="K331" i="13"/>
  <c r="K332" i="13"/>
  <c r="K333" i="13"/>
  <c r="K334" i="13"/>
  <c r="K335" i="13"/>
  <c r="K336" i="13"/>
  <c r="K337" i="13"/>
  <c r="K338" i="13"/>
  <c r="K339" i="13"/>
  <c r="K340" i="13"/>
  <c r="K341" i="13"/>
  <c r="K342" i="13"/>
  <c r="K343" i="13"/>
  <c r="K344" i="13"/>
  <c r="K345" i="13"/>
  <c r="K346" i="13"/>
  <c r="K347" i="13"/>
  <c r="K348" i="13"/>
  <c r="K349" i="13"/>
  <c r="K350" i="13"/>
  <c r="K351" i="13"/>
  <c r="K352" i="13"/>
  <c r="K353" i="13"/>
  <c r="K354" i="13"/>
  <c r="K355" i="13"/>
  <c r="K356" i="13"/>
  <c r="K357" i="13"/>
  <c r="K358" i="13"/>
  <c r="K359" i="13"/>
  <c r="K360" i="13"/>
  <c r="K361" i="13"/>
  <c r="K362" i="13"/>
  <c r="K363" i="13"/>
  <c r="K364" i="13"/>
  <c r="K365" i="13"/>
  <c r="K366" i="13"/>
  <c r="K367" i="13"/>
  <c r="K368" i="13"/>
  <c r="K369" i="13"/>
  <c r="K370" i="13"/>
  <c r="K371" i="13"/>
  <c r="K372" i="13"/>
  <c r="K373" i="13"/>
  <c r="K374" i="13"/>
  <c r="K375" i="13"/>
  <c r="K376" i="13"/>
  <c r="K377" i="13"/>
  <c r="K378" i="13"/>
  <c r="K379" i="13"/>
  <c r="K380" i="13"/>
  <c r="K381" i="13"/>
  <c r="K382" i="13"/>
  <c r="K383" i="13"/>
  <c r="K384" i="13"/>
  <c r="K385" i="13"/>
  <c r="K386" i="13"/>
  <c r="K387" i="13"/>
  <c r="K388" i="13"/>
  <c r="K389" i="13"/>
  <c r="K390" i="13"/>
  <c r="K391" i="13"/>
  <c r="K392" i="13"/>
  <c r="K393" i="13"/>
  <c r="K394" i="13"/>
  <c r="K395" i="13"/>
  <c r="K396" i="13"/>
  <c r="K397" i="13"/>
  <c r="K398" i="13"/>
  <c r="K399" i="13"/>
  <c r="K400" i="13"/>
  <c r="K401" i="13"/>
  <c r="K402" i="13"/>
  <c r="K403" i="13"/>
  <c r="K404" i="13"/>
  <c r="K405" i="13"/>
  <c r="K406" i="13"/>
  <c r="K407" i="13"/>
  <c r="K408" i="13"/>
  <c r="K409" i="13"/>
  <c r="K410" i="13"/>
  <c r="K411" i="13"/>
  <c r="K412" i="13"/>
  <c r="K413" i="13"/>
  <c r="K414" i="13"/>
  <c r="K415" i="13"/>
  <c r="K416" i="13"/>
  <c r="K417" i="13"/>
  <c r="K418" i="13"/>
  <c r="K419" i="13"/>
  <c r="K420" i="13"/>
  <c r="K421" i="13"/>
  <c r="K422" i="13"/>
  <c r="K423" i="13"/>
  <c r="K424" i="13"/>
  <c r="K425" i="13"/>
  <c r="K426" i="13"/>
  <c r="K427" i="13"/>
  <c r="K428" i="13"/>
  <c r="K429" i="13"/>
  <c r="K430" i="13"/>
  <c r="K431" i="13"/>
  <c r="K432" i="13"/>
  <c r="K433" i="13"/>
  <c r="K434" i="13"/>
  <c r="K435" i="13"/>
  <c r="K436" i="13"/>
  <c r="K437" i="13"/>
  <c r="K438" i="13"/>
  <c r="K439" i="13"/>
  <c r="K440" i="13"/>
  <c r="K441" i="13"/>
  <c r="K442" i="13"/>
  <c r="K443" i="13"/>
  <c r="K444" i="13"/>
  <c r="K445" i="13"/>
  <c r="K446" i="13"/>
  <c r="K447" i="13"/>
  <c r="K448" i="13"/>
  <c r="K449" i="13"/>
  <c r="K450" i="13"/>
  <c r="K451" i="13"/>
  <c r="K452" i="13"/>
  <c r="K453" i="13"/>
  <c r="K454" i="13"/>
  <c r="K455" i="13"/>
  <c r="K456" i="13"/>
  <c r="K457" i="13"/>
  <c r="K458" i="13"/>
  <c r="K459" i="13"/>
  <c r="K460" i="13"/>
  <c r="K461" i="13"/>
  <c r="K462" i="13"/>
  <c r="K463" i="13"/>
  <c r="K464" i="13"/>
  <c r="K465" i="13"/>
  <c r="K466" i="13"/>
  <c r="K467" i="13"/>
  <c r="K468" i="13"/>
  <c r="K469" i="13"/>
  <c r="K470" i="13"/>
  <c r="K471" i="13"/>
  <c r="K472" i="13"/>
  <c r="K473" i="13"/>
  <c r="K474" i="13"/>
  <c r="K475" i="13"/>
  <c r="K476" i="13"/>
  <c r="K477" i="13"/>
  <c r="K478" i="13"/>
  <c r="K479" i="13"/>
  <c r="K480" i="13"/>
  <c r="K481" i="13"/>
  <c r="K482" i="13"/>
  <c r="K483" i="13"/>
  <c r="K484" i="13"/>
  <c r="K485" i="13"/>
  <c r="K486" i="13"/>
  <c r="K487" i="13"/>
  <c r="K488" i="13"/>
  <c r="K489" i="13"/>
  <c r="K490" i="13"/>
  <c r="K491" i="13"/>
  <c r="K492" i="13"/>
  <c r="K493" i="13"/>
  <c r="K494" i="13"/>
  <c r="K495" i="13"/>
  <c r="K496" i="13"/>
  <c r="K497" i="13"/>
  <c r="K498" i="13"/>
  <c r="K499" i="13"/>
  <c r="K500" i="13"/>
  <c r="K501" i="13"/>
  <c r="K502" i="13"/>
  <c r="K503" i="13"/>
  <c r="K504" i="13"/>
  <c r="K505" i="13"/>
  <c r="K506" i="13"/>
  <c r="K507" i="13"/>
  <c r="K508" i="13"/>
  <c r="K509" i="13"/>
  <c r="K510" i="13"/>
  <c r="K511" i="13"/>
  <c r="K512" i="13"/>
  <c r="K513" i="13"/>
  <c r="K514" i="13"/>
  <c r="K515" i="13"/>
  <c r="K516" i="13"/>
  <c r="K517" i="13"/>
  <c r="K518" i="13"/>
  <c r="K519" i="13"/>
  <c r="K520" i="13"/>
  <c r="K521" i="13"/>
  <c r="K522" i="13"/>
  <c r="K523" i="13"/>
  <c r="K524" i="13"/>
  <c r="K525" i="13"/>
  <c r="K526" i="13"/>
  <c r="K527" i="13"/>
  <c r="K528" i="13"/>
  <c r="K529" i="13"/>
  <c r="K530" i="13"/>
  <c r="K531" i="13"/>
  <c r="K532" i="13"/>
  <c r="K533" i="13"/>
  <c r="K534" i="13"/>
  <c r="K535" i="13"/>
  <c r="K536" i="13"/>
  <c r="K537" i="13"/>
  <c r="K538" i="13"/>
  <c r="K539" i="13"/>
  <c r="K540" i="13"/>
  <c r="K541" i="13"/>
  <c r="K542" i="13"/>
  <c r="K543" i="13"/>
  <c r="K544" i="13"/>
  <c r="K545" i="13"/>
  <c r="K546" i="13"/>
  <c r="K547" i="13"/>
  <c r="K548" i="13"/>
  <c r="K549" i="13"/>
  <c r="K550" i="13"/>
  <c r="K551" i="13"/>
  <c r="K552" i="13"/>
  <c r="K553" i="13"/>
  <c r="K554" i="13"/>
  <c r="K555" i="13"/>
  <c r="K556" i="13"/>
  <c r="K557" i="13"/>
  <c r="K558" i="13"/>
  <c r="K559" i="13"/>
  <c r="K560" i="13"/>
  <c r="K561" i="13"/>
  <c r="K562" i="13"/>
  <c r="K563" i="13"/>
  <c r="K564" i="13"/>
  <c r="K565" i="13"/>
  <c r="K566" i="13"/>
  <c r="K567" i="13"/>
  <c r="K568" i="13"/>
  <c r="K569" i="13"/>
  <c r="K570" i="13"/>
  <c r="K571" i="13"/>
  <c r="K572" i="13"/>
  <c r="K573" i="13"/>
  <c r="K574" i="13"/>
  <c r="K575" i="13"/>
  <c r="K576" i="13"/>
  <c r="K577" i="13"/>
  <c r="K578" i="13"/>
  <c r="K579" i="13"/>
  <c r="K580" i="13"/>
  <c r="K581" i="13"/>
  <c r="K582" i="13"/>
  <c r="K583" i="13"/>
  <c r="K584" i="13"/>
  <c r="K585" i="13"/>
  <c r="K586" i="13"/>
  <c r="K587" i="13"/>
  <c r="K588" i="13"/>
  <c r="K589" i="13"/>
  <c r="K590" i="13"/>
  <c r="K591" i="13"/>
  <c r="K592" i="13"/>
  <c r="K593" i="13"/>
  <c r="K594" i="13"/>
  <c r="K595" i="13"/>
  <c r="K596" i="13"/>
  <c r="K597" i="13"/>
  <c r="K598" i="13"/>
  <c r="K599" i="13"/>
  <c r="K600" i="13"/>
  <c r="K601" i="13"/>
  <c r="K602" i="13"/>
  <c r="K603" i="13"/>
  <c r="K604" i="13"/>
  <c r="K605" i="13"/>
  <c r="K606" i="13"/>
  <c r="K607" i="13"/>
  <c r="K608" i="13"/>
  <c r="K609" i="13"/>
  <c r="K610" i="13"/>
  <c r="K611" i="13"/>
  <c r="K612" i="13"/>
  <c r="K613" i="13"/>
  <c r="K614" i="13"/>
  <c r="K615" i="13"/>
  <c r="K616" i="13"/>
  <c r="K617" i="13"/>
  <c r="K618" i="13"/>
  <c r="K619" i="13"/>
  <c r="K620" i="13"/>
  <c r="K621" i="13"/>
  <c r="K622" i="13"/>
  <c r="K623" i="13"/>
  <c r="K624" i="13"/>
  <c r="K625" i="13"/>
  <c r="K626" i="13"/>
  <c r="K627" i="13"/>
  <c r="K628" i="13"/>
  <c r="K629" i="13"/>
  <c r="K630" i="13"/>
  <c r="K631" i="13"/>
  <c r="K632" i="13"/>
  <c r="K633" i="13"/>
  <c r="K634" i="13"/>
  <c r="K635" i="13"/>
  <c r="K636" i="13"/>
  <c r="K637" i="13"/>
  <c r="K638" i="13"/>
  <c r="K639" i="13"/>
  <c r="K640" i="13"/>
  <c r="K641" i="13"/>
  <c r="K642" i="13"/>
  <c r="K643" i="13"/>
  <c r="K644" i="13"/>
  <c r="K645" i="13"/>
  <c r="K646" i="13"/>
  <c r="K647" i="13"/>
  <c r="K648" i="13"/>
  <c r="K649" i="13"/>
  <c r="K650" i="13"/>
  <c r="K651" i="13"/>
  <c r="K652" i="13"/>
  <c r="K653" i="13"/>
  <c r="K654" i="13"/>
  <c r="K655" i="13"/>
  <c r="K656" i="13"/>
  <c r="K657" i="13"/>
  <c r="K658" i="13"/>
  <c r="K659" i="13"/>
  <c r="K660" i="13"/>
  <c r="K661" i="13"/>
  <c r="K662" i="13"/>
  <c r="K663" i="13"/>
  <c r="K664" i="13"/>
  <c r="K665" i="13"/>
  <c r="K666" i="13"/>
  <c r="K667" i="13"/>
  <c r="K668" i="13"/>
  <c r="K669" i="13"/>
  <c r="K670" i="13"/>
  <c r="K671" i="13"/>
  <c r="K672" i="13"/>
  <c r="K673" i="13"/>
  <c r="K674" i="13"/>
  <c r="K675" i="13"/>
  <c r="K676" i="13"/>
  <c r="K677" i="13"/>
  <c r="K678" i="13"/>
  <c r="K679" i="13"/>
  <c r="K680" i="13"/>
  <c r="K681" i="13"/>
  <c r="K682" i="13"/>
  <c r="K683" i="13"/>
  <c r="K684" i="13"/>
  <c r="K685" i="13"/>
  <c r="K686" i="13"/>
  <c r="K687" i="13"/>
  <c r="K688" i="13"/>
  <c r="K689" i="13"/>
  <c r="K690" i="13"/>
  <c r="K691" i="13"/>
  <c r="K692" i="13"/>
  <c r="K693" i="13"/>
  <c r="K694" i="13"/>
  <c r="K695" i="13"/>
  <c r="K696" i="13"/>
  <c r="K697" i="13"/>
  <c r="K698" i="13"/>
  <c r="K699" i="13"/>
  <c r="K700" i="13"/>
  <c r="K701" i="13"/>
  <c r="K702" i="13"/>
  <c r="K703" i="13"/>
  <c r="K704" i="13"/>
  <c r="K705" i="13"/>
  <c r="K706" i="13"/>
  <c r="K707" i="13"/>
  <c r="K708" i="13"/>
  <c r="K709" i="13"/>
  <c r="K710" i="13"/>
  <c r="K711" i="13"/>
  <c r="K712" i="13"/>
  <c r="K713" i="13"/>
  <c r="K714" i="13"/>
  <c r="K715" i="13"/>
  <c r="K716" i="13"/>
  <c r="K717" i="13"/>
  <c r="K718" i="13"/>
  <c r="K719" i="13"/>
  <c r="K720" i="13"/>
  <c r="K721" i="13"/>
  <c r="K722" i="13"/>
  <c r="K723" i="13"/>
  <c r="K724" i="13"/>
  <c r="K725" i="13"/>
  <c r="K726" i="13"/>
  <c r="K727" i="13"/>
  <c r="K728" i="13"/>
  <c r="K729" i="13"/>
  <c r="K730" i="13"/>
  <c r="K731" i="13"/>
  <c r="K732" i="13"/>
  <c r="K733" i="13"/>
  <c r="K734" i="13"/>
  <c r="K735" i="13"/>
  <c r="K736" i="13"/>
  <c r="K737" i="13"/>
  <c r="K738" i="13"/>
  <c r="K739" i="13"/>
  <c r="K740" i="13"/>
  <c r="K741" i="13"/>
  <c r="K742" i="13"/>
  <c r="K743" i="13"/>
  <c r="K744" i="13"/>
  <c r="K745" i="13"/>
  <c r="K746" i="13"/>
  <c r="K747" i="13"/>
  <c r="K748" i="13"/>
  <c r="K749" i="13"/>
  <c r="K750" i="13"/>
  <c r="K751" i="13"/>
  <c r="K752" i="13"/>
  <c r="K753" i="13"/>
  <c r="K754" i="13"/>
  <c r="K755" i="13"/>
  <c r="K756" i="13"/>
  <c r="K757" i="13"/>
  <c r="K758" i="13"/>
  <c r="K759" i="13"/>
  <c r="K760" i="13"/>
  <c r="K761" i="13"/>
  <c r="K762" i="13"/>
  <c r="K763" i="13"/>
  <c r="K764" i="13"/>
  <c r="K765" i="13"/>
  <c r="K766" i="13"/>
  <c r="K767" i="13"/>
  <c r="K768" i="13"/>
  <c r="K769" i="13"/>
  <c r="K770" i="13"/>
  <c r="K771" i="13"/>
  <c r="K772" i="13"/>
  <c r="K773" i="13"/>
  <c r="K774" i="13"/>
  <c r="K775" i="13"/>
  <c r="K776" i="13"/>
  <c r="K777" i="13"/>
  <c r="K778" i="13"/>
  <c r="K779" i="13"/>
  <c r="K780" i="13"/>
  <c r="K781" i="13"/>
  <c r="K782" i="13"/>
  <c r="K783" i="13"/>
  <c r="K784" i="13"/>
  <c r="K785" i="13"/>
  <c r="K786" i="13"/>
  <c r="K787" i="13"/>
  <c r="K788" i="13"/>
  <c r="K789" i="13"/>
  <c r="K790" i="13"/>
  <c r="K791" i="13"/>
  <c r="K792" i="13"/>
  <c r="K793" i="13"/>
  <c r="K794" i="13"/>
  <c r="K795" i="13"/>
  <c r="K796" i="13"/>
  <c r="K797" i="13"/>
  <c r="K798" i="13"/>
  <c r="K799" i="13"/>
  <c r="K800" i="13"/>
  <c r="K801" i="13"/>
  <c r="K802" i="13"/>
  <c r="K803" i="13"/>
  <c r="K804" i="13"/>
  <c r="K805" i="13"/>
  <c r="K806" i="13"/>
  <c r="K807" i="13"/>
  <c r="K808" i="13"/>
  <c r="K809" i="13"/>
  <c r="K810" i="13"/>
  <c r="K811" i="13"/>
  <c r="K812" i="13"/>
  <c r="K813" i="13"/>
  <c r="K814" i="13"/>
  <c r="K815" i="13"/>
  <c r="K816" i="13"/>
  <c r="K817" i="13"/>
  <c r="K818" i="13"/>
  <c r="K819" i="13"/>
  <c r="K820" i="13"/>
  <c r="K821" i="13"/>
  <c r="K822" i="13"/>
  <c r="K823" i="13"/>
  <c r="K824" i="13"/>
  <c r="K825" i="13"/>
  <c r="K826" i="13"/>
  <c r="K827" i="13"/>
  <c r="K828" i="13"/>
  <c r="K829" i="13"/>
  <c r="K830" i="13"/>
  <c r="K831" i="13"/>
  <c r="K832" i="13"/>
  <c r="K833" i="13"/>
  <c r="K834" i="13"/>
  <c r="K835" i="13"/>
  <c r="K836" i="13"/>
  <c r="K837" i="13"/>
  <c r="K838" i="13"/>
  <c r="K839" i="13"/>
  <c r="K840" i="13"/>
  <c r="K841" i="13"/>
  <c r="K842" i="13"/>
  <c r="K843" i="13"/>
  <c r="K844" i="13"/>
  <c r="K845" i="13"/>
  <c r="K846" i="13"/>
  <c r="K847" i="13"/>
  <c r="K848" i="13"/>
  <c r="K849" i="13"/>
  <c r="K850" i="13"/>
  <c r="K851" i="13"/>
  <c r="K852" i="13"/>
  <c r="K853" i="13"/>
  <c r="K854" i="13"/>
  <c r="K855" i="13"/>
  <c r="K856" i="13"/>
  <c r="K857" i="13"/>
  <c r="K858" i="13"/>
  <c r="K859" i="13"/>
  <c r="K860" i="13"/>
  <c r="K861" i="13"/>
  <c r="K862" i="13"/>
  <c r="K863" i="13"/>
  <c r="K864" i="13"/>
  <c r="K865" i="13"/>
  <c r="K866" i="13"/>
  <c r="K867" i="13"/>
  <c r="K868" i="13"/>
  <c r="K869" i="13"/>
  <c r="K870" i="13"/>
  <c r="K871" i="13"/>
  <c r="K872" i="13"/>
  <c r="K873" i="13"/>
  <c r="K874" i="13"/>
  <c r="K875" i="13"/>
  <c r="K876" i="13"/>
  <c r="K877" i="13"/>
  <c r="K878" i="13"/>
  <c r="K879" i="13"/>
  <c r="K880" i="13"/>
  <c r="K881" i="13"/>
  <c r="K882" i="13"/>
  <c r="K883" i="13"/>
  <c r="K884" i="13"/>
  <c r="K885" i="13"/>
  <c r="K886" i="13"/>
  <c r="K887" i="13"/>
  <c r="K888" i="13"/>
  <c r="K889" i="13"/>
  <c r="K890" i="13"/>
  <c r="K891" i="13"/>
  <c r="K892" i="13"/>
  <c r="K893" i="13"/>
  <c r="K894" i="13"/>
  <c r="K895" i="13"/>
  <c r="K896" i="13"/>
  <c r="K897" i="13"/>
  <c r="K898" i="13"/>
  <c r="K899" i="13"/>
  <c r="K900" i="13"/>
  <c r="K901" i="13"/>
  <c r="K902" i="13"/>
  <c r="K903" i="13"/>
  <c r="K904" i="13"/>
  <c r="K905" i="13"/>
  <c r="K906" i="13"/>
  <c r="K907" i="13"/>
  <c r="K908" i="13"/>
  <c r="K909" i="13"/>
  <c r="K910" i="13"/>
  <c r="K911" i="13"/>
  <c r="K912" i="13"/>
  <c r="K913" i="13"/>
  <c r="K914" i="13"/>
  <c r="K915" i="13"/>
  <c r="K916" i="13"/>
  <c r="K917" i="13"/>
  <c r="K918" i="13"/>
  <c r="K919" i="13"/>
  <c r="K920" i="13"/>
  <c r="K921" i="13"/>
  <c r="K922" i="13"/>
  <c r="K923" i="13"/>
  <c r="K924" i="13"/>
  <c r="K925" i="13"/>
  <c r="K926" i="13"/>
  <c r="K927" i="13"/>
  <c r="K928" i="13"/>
  <c r="K929" i="13"/>
  <c r="K930" i="13"/>
  <c r="K931" i="13"/>
  <c r="K932" i="13"/>
  <c r="K933" i="13"/>
  <c r="K934" i="13"/>
  <c r="K935" i="13"/>
  <c r="K936" i="13"/>
  <c r="K937" i="13"/>
  <c r="K938" i="13"/>
  <c r="K939" i="13"/>
  <c r="K940" i="13"/>
  <c r="K941" i="13"/>
  <c r="K942" i="13"/>
  <c r="K943" i="13"/>
  <c r="K944" i="13"/>
  <c r="K945" i="13"/>
  <c r="K946" i="13"/>
  <c r="K947" i="13"/>
  <c r="K948" i="13"/>
  <c r="K949" i="13"/>
  <c r="K950" i="13"/>
  <c r="K951" i="13"/>
  <c r="K952" i="13"/>
  <c r="K953" i="13"/>
  <c r="K954" i="13"/>
  <c r="K955" i="13"/>
  <c r="K956" i="13"/>
  <c r="K957" i="13"/>
  <c r="K958" i="13"/>
  <c r="K959" i="13"/>
  <c r="K960" i="13"/>
  <c r="K961" i="13"/>
  <c r="K962" i="13"/>
  <c r="K963" i="13"/>
  <c r="K964" i="13"/>
  <c r="K965" i="13"/>
  <c r="K966" i="13"/>
  <c r="K967" i="13"/>
  <c r="K968" i="13"/>
  <c r="K969" i="13"/>
  <c r="K970" i="13"/>
  <c r="K971" i="13"/>
  <c r="K972" i="13"/>
  <c r="K973" i="13"/>
  <c r="K974" i="13"/>
  <c r="K975" i="13"/>
  <c r="K976" i="13"/>
  <c r="K977" i="13"/>
  <c r="K978" i="13"/>
  <c r="K979" i="13"/>
  <c r="K980" i="13"/>
  <c r="K981" i="13"/>
  <c r="K982" i="13"/>
  <c r="K983" i="13"/>
  <c r="K984" i="13"/>
  <c r="K985" i="13"/>
  <c r="K986" i="13"/>
  <c r="K987" i="13"/>
  <c r="K988" i="13"/>
  <c r="K989" i="13"/>
  <c r="K990" i="13"/>
  <c r="K991" i="13"/>
  <c r="K992" i="13"/>
  <c r="K993" i="13"/>
  <c r="K994" i="13"/>
  <c r="K995" i="13"/>
  <c r="K996" i="13"/>
  <c r="K997" i="13"/>
  <c r="K998" i="13"/>
  <c r="K999" i="13"/>
  <c r="K1000" i="13"/>
  <c r="K1001" i="13"/>
  <c r="K1002" i="13"/>
  <c r="K1003" i="13"/>
  <c r="K1004" i="13"/>
  <c r="K1005" i="13"/>
  <c r="K1006" i="13"/>
  <c r="K1007" i="13"/>
  <c r="K1008" i="13"/>
  <c r="K1009" i="13"/>
  <c r="K1010" i="13"/>
  <c r="K1011" i="13"/>
  <c r="K1012" i="13"/>
  <c r="K1013" i="13"/>
  <c r="K1014" i="13"/>
  <c r="K1015" i="13"/>
  <c r="K1016" i="13"/>
  <c r="K1017" i="13"/>
  <c r="K1018" i="13"/>
  <c r="K1019" i="13"/>
  <c r="K1020" i="13"/>
  <c r="K1021" i="13"/>
  <c r="K1022" i="13"/>
  <c r="K1023" i="13"/>
  <c r="K1024" i="13"/>
  <c r="K1025" i="13"/>
  <c r="K1026" i="13"/>
  <c r="K1027" i="13"/>
  <c r="K1028" i="13"/>
  <c r="K1029" i="13"/>
  <c r="K1030" i="13"/>
  <c r="K1031" i="13"/>
  <c r="K1032" i="13"/>
  <c r="K1033" i="13"/>
  <c r="K1034" i="13"/>
  <c r="K1035" i="13"/>
  <c r="K1036" i="13"/>
  <c r="K1037" i="13"/>
  <c r="K1038" i="13"/>
  <c r="K1039" i="13"/>
  <c r="K1040" i="13"/>
  <c r="K1041" i="13"/>
  <c r="K1042" i="13"/>
  <c r="K1043" i="13"/>
  <c r="K1044" i="13"/>
  <c r="K1045" i="13"/>
  <c r="K1046" i="13"/>
  <c r="K1047" i="13"/>
  <c r="K1048" i="13"/>
  <c r="K1049" i="13"/>
  <c r="K1050" i="13"/>
  <c r="K1051" i="13"/>
  <c r="K1052" i="13"/>
  <c r="K1053" i="13"/>
  <c r="K1054" i="13"/>
  <c r="K1055" i="13"/>
  <c r="K1056" i="13"/>
  <c r="K1057" i="13"/>
  <c r="K1058" i="13"/>
  <c r="K1059" i="13"/>
  <c r="K1060" i="13"/>
  <c r="K1061" i="13"/>
  <c r="K1062" i="13"/>
  <c r="K1063" i="13"/>
  <c r="K1064" i="13"/>
  <c r="K1065" i="13"/>
  <c r="K1066" i="13"/>
  <c r="K1067" i="13"/>
  <c r="K1068" i="13"/>
  <c r="K1069" i="13"/>
  <c r="K1070" i="13"/>
  <c r="K1071" i="13"/>
  <c r="K1072" i="13"/>
  <c r="K1073" i="13"/>
  <c r="K1074" i="13"/>
  <c r="K1075" i="13"/>
  <c r="K1076" i="13"/>
  <c r="K1077" i="13"/>
  <c r="K1078" i="13"/>
  <c r="K1079" i="13"/>
  <c r="K1080" i="13"/>
  <c r="K1081" i="13"/>
  <c r="K1082" i="13"/>
  <c r="K1083" i="13"/>
  <c r="K1084" i="13"/>
  <c r="K1085" i="13"/>
  <c r="K1086" i="13"/>
  <c r="K1087" i="13"/>
  <c r="K1088" i="13"/>
  <c r="K1089" i="13"/>
  <c r="K1090" i="13"/>
  <c r="K1091" i="13"/>
  <c r="K1092" i="13"/>
  <c r="K1093" i="13"/>
  <c r="K1094" i="13"/>
  <c r="K1095" i="13"/>
  <c r="K1096" i="13"/>
  <c r="K1097" i="13"/>
  <c r="K1098" i="13"/>
  <c r="K1099" i="13"/>
  <c r="K1100" i="13"/>
  <c r="K1101" i="13"/>
  <c r="K1102" i="13"/>
  <c r="K1103" i="13"/>
  <c r="K1104" i="13"/>
  <c r="K1105" i="13"/>
  <c r="K1106" i="13"/>
  <c r="K1107" i="13"/>
  <c r="K1108" i="13"/>
  <c r="K1109" i="13"/>
  <c r="K1110" i="13"/>
  <c r="K1111" i="13"/>
  <c r="K1112" i="13"/>
  <c r="K1113" i="13"/>
  <c r="K1114" i="13"/>
  <c r="K1115" i="13"/>
  <c r="K1116" i="13"/>
  <c r="K1117" i="13"/>
  <c r="K1118" i="13"/>
  <c r="K1119" i="13"/>
  <c r="K1120" i="13"/>
  <c r="K1121" i="13"/>
  <c r="K1122" i="13"/>
  <c r="K1123" i="13"/>
  <c r="K1124" i="13"/>
  <c r="K1125" i="13"/>
  <c r="K1126" i="13"/>
  <c r="K1127" i="13"/>
  <c r="K1128" i="13"/>
  <c r="K1129" i="13"/>
  <c r="K1130" i="13"/>
  <c r="K1131" i="13"/>
  <c r="K1132" i="13"/>
  <c r="K1133" i="13"/>
  <c r="K1134" i="13"/>
  <c r="K1135" i="13"/>
  <c r="K1136" i="13"/>
  <c r="K1137" i="13"/>
  <c r="K1138" i="13"/>
  <c r="K1139" i="13"/>
  <c r="K1140" i="13"/>
  <c r="K1141" i="13"/>
  <c r="K1142" i="13"/>
  <c r="K1143" i="13"/>
  <c r="K1144" i="13"/>
  <c r="K1145" i="13"/>
  <c r="K1146" i="13"/>
  <c r="K1147" i="13"/>
  <c r="K1148" i="13"/>
  <c r="K1149" i="13"/>
  <c r="K1150" i="13"/>
  <c r="K1151" i="13"/>
  <c r="K1152" i="13"/>
  <c r="K1153" i="13"/>
  <c r="K1154" i="13"/>
  <c r="K1155" i="13"/>
  <c r="K1156" i="13"/>
  <c r="K1157" i="13"/>
  <c r="K1158" i="13"/>
  <c r="K1159" i="13"/>
  <c r="K1160" i="13"/>
  <c r="K1161" i="13"/>
  <c r="K1162" i="13"/>
  <c r="K1163" i="13"/>
  <c r="K1164" i="13"/>
  <c r="K1165" i="13"/>
  <c r="K1166" i="13"/>
  <c r="K1167" i="13"/>
  <c r="K1168" i="13"/>
  <c r="K1169" i="13"/>
  <c r="K1170" i="13"/>
  <c r="K1171" i="13"/>
  <c r="K1172" i="13"/>
  <c r="K1173" i="13"/>
  <c r="K1174" i="13"/>
  <c r="K1175" i="13"/>
  <c r="K1176" i="13"/>
  <c r="K1177" i="13"/>
  <c r="K1178" i="13"/>
  <c r="K1179" i="13"/>
  <c r="K1180" i="13"/>
  <c r="K1181" i="13"/>
  <c r="K1182" i="13"/>
  <c r="K1183" i="13"/>
  <c r="K1184" i="13"/>
  <c r="K1185" i="13"/>
  <c r="K1186" i="13"/>
  <c r="K1187" i="13"/>
  <c r="K1188" i="13"/>
  <c r="K1189" i="13"/>
  <c r="K1190" i="13"/>
  <c r="K1191" i="13"/>
  <c r="K1192" i="13"/>
  <c r="K1193" i="13"/>
  <c r="K1194" i="13"/>
  <c r="K1195" i="13"/>
  <c r="K1196" i="13"/>
  <c r="K1197" i="13"/>
  <c r="K1198" i="13"/>
  <c r="K1199" i="13"/>
  <c r="K1200" i="13"/>
  <c r="K1201" i="13"/>
  <c r="K1202" i="13"/>
  <c r="K1203" i="13"/>
  <c r="K1204" i="13"/>
  <c r="K1205" i="13"/>
  <c r="K1206" i="13"/>
  <c r="K1207" i="13"/>
  <c r="K1208" i="13"/>
  <c r="K1209" i="13"/>
  <c r="K1210" i="13"/>
  <c r="K1211" i="13"/>
  <c r="K1212" i="13"/>
  <c r="K1213" i="13"/>
  <c r="K1214" i="13"/>
  <c r="K1215" i="13"/>
  <c r="K1216" i="13"/>
  <c r="K1217" i="13"/>
  <c r="K1218" i="13"/>
  <c r="K1219" i="13"/>
  <c r="K1220" i="13"/>
  <c r="K1221" i="13"/>
  <c r="K1222" i="13"/>
  <c r="K1223" i="13"/>
  <c r="K1224" i="13"/>
  <c r="K1225" i="13"/>
  <c r="K1226" i="13"/>
  <c r="K1227" i="13"/>
  <c r="K1228" i="13"/>
  <c r="K1229" i="13"/>
  <c r="K1230" i="13"/>
  <c r="K1231" i="13"/>
  <c r="K1232" i="13"/>
  <c r="K1233" i="13"/>
  <c r="K1234" i="13"/>
  <c r="K1235" i="13"/>
  <c r="K1236" i="13"/>
  <c r="K1237" i="13"/>
  <c r="K1238" i="13"/>
  <c r="K1239" i="13"/>
  <c r="K1240" i="13"/>
  <c r="K1241" i="13"/>
  <c r="K1242" i="13"/>
  <c r="K1243" i="13"/>
  <c r="K1244" i="13"/>
  <c r="K1245" i="13"/>
  <c r="K1246" i="13"/>
  <c r="K1247" i="13"/>
  <c r="K1248" i="13"/>
  <c r="K1249" i="13"/>
  <c r="K1250" i="13"/>
  <c r="K1251" i="13"/>
  <c r="K1252" i="13"/>
  <c r="K1253" i="13"/>
  <c r="K1254" i="13"/>
  <c r="K1255" i="13"/>
  <c r="K1256" i="13"/>
  <c r="K1257" i="13"/>
  <c r="K1258" i="13"/>
  <c r="K1259" i="13"/>
  <c r="K1260" i="13"/>
  <c r="K1261" i="13"/>
  <c r="K1262" i="13"/>
  <c r="K1263" i="13"/>
  <c r="K1264" i="13"/>
  <c r="K1265" i="13"/>
  <c r="K1266" i="13"/>
  <c r="K1267" i="13"/>
  <c r="K1268" i="13"/>
  <c r="K1269" i="13"/>
  <c r="K1270" i="13"/>
  <c r="K1271" i="13"/>
  <c r="K1272" i="13"/>
  <c r="K1273" i="13"/>
  <c r="K1274" i="13"/>
  <c r="K1275" i="13"/>
  <c r="K1276" i="13"/>
  <c r="K1277" i="13"/>
  <c r="K1278" i="13"/>
  <c r="K1279" i="13"/>
  <c r="K1280" i="13"/>
  <c r="K1281" i="13"/>
  <c r="K1282" i="13"/>
  <c r="K1283" i="13"/>
  <c r="K1284" i="13"/>
  <c r="K1285" i="13"/>
  <c r="K1286" i="13"/>
  <c r="K1287" i="13"/>
  <c r="K1288" i="13"/>
  <c r="K1289" i="13"/>
  <c r="K1290" i="13"/>
  <c r="K1291" i="13"/>
  <c r="K1292" i="13"/>
  <c r="K1293" i="13"/>
  <c r="K1294" i="13"/>
  <c r="K1295" i="13"/>
  <c r="K1296" i="13"/>
  <c r="K1297" i="13"/>
  <c r="K1298" i="13"/>
  <c r="K1299" i="13"/>
  <c r="K1300" i="13"/>
  <c r="K1301" i="13"/>
  <c r="K1302" i="13"/>
  <c r="K1303" i="13"/>
  <c r="K1304" i="13"/>
  <c r="K1305" i="13"/>
  <c r="K1306" i="13"/>
  <c r="K1307" i="13"/>
  <c r="K1308" i="13"/>
  <c r="K1309" i="13"/>
  <c r="K1310" i="13"/>
  <c r="K1311" i="13"/>
  <c r="K1312" i="13"/>
  <c r="K1313" i="13"/>
  <c r="K1314" i="13"/>
  <c r="K1315" i="13"/>
  <c r="K1316" i="13"/>
  <c r="K1317" i="13"/>
  <c r="K1318" i="13"/>
  <c r="K1319" i="13"/>
  <c r="K1320" i="13"/>
  <c r="K1321" i="13"/>
  <c r="K1322" i="13"/>
  <c r="K1323" i="13"/>
  <c r="K1324" i="13"/>
  <c r="K1325" i="13"/>
  <c r="K1326" i="13"/>
  <c r="K1327" i="13"/>
  <c r="K1328" i="13"/>
  <c r="K1329" i="13"/>
  <c r="K1330" i="13"/>
  <c r="K1331" i="13"/>
  <c r="K1332" i="13"/>
  <c r="K1333" i="13"/>
  <c r="K1334" i="13"/>
  <c r="K1335" i="13"/>
  <c r="K1336" i="13"/>
  <c r="K1337" i="13"/>
  <c r="K1338" i="13"/>
  <c r="K1339" i="13"/>
  <c r="K1340" i="13"/>
  <c r="K1341" i="13"/>
  <c r="K1342" i="13"/>
  <c r="K1343" i="13"/>
  <c r="K1344" i="13"/>
  <c r="K1345" i="13"/>
  <c r="K1346" i="13"/>
  <c r="K1347" i="13"/>
  <c r="K1348" i="13"/>
  <c r="K1349" i="13"/>
  <c r="K1350" i="13"/>
  <c r="K1351" i="13"/>
  <c r="K1352" i="13"/>
  <c r="K1353" i="13"/>
  <c r="K1354" i="13"/>
  <c r="K1355" i="13"/>
  <c r="K1356" i="13"/>
  <c r="K1357" i="13"/>
  <c r="K1358" i="13"/>
  <c r="K1359" i="13"/>
  <c r="K1360" i="13"/>
  <c r="K1361" i="13"/>
  <c r="K1362" i="13"/>
  <c r="K1363" i="13"/>
  <c r="K1364" i="13"/>
  <c r="K1365" i="13"/>
  <c r="K1366" i="13"/>
  <c r="K1367" i="13"/>
  <c r="K1368" i="13"/>
  <c r="K1369" i="13"/>
  <c r="K1370" i="13"/>
  <c r="K1371" i="13"/>
  <c r="K1372" i="13"/>
  <c r="K1373" i="13"/>
  <c r="K1374" i="13"/>
  <c r="K1375" i="13"/>
  <c r="K1376" i="13"/>
  <c r="K1377" i="13"/>
  <c r="K1378" i="13"/>
  <c r="K1379" i="13"/>
  <c r="K1380" i="13"/>
  <c r="K1381" i="13"/>
  <c r="K1382" i="13"/>
  <c r="K1383" i="13"/>
  <c r="K1384" i="13"/>
  <c r="K1385" i="13"/>
  <c r="K1386" i="13"/>
  <c r="K1387" i="13"/>
  <c r="K1388" i="13"/>
  <c r="K1389" i="13"/>
  <c r="K1390" i="13"/>
  <c r="K1391" i="13"/>
  <c r="K1392" i="13"/>
  <c r="K1393" i="13"/>
  <c r="K1394" i="13"/>
  <c r="K1395" i="13"/>
  <c r="K1396" i="13"/>
  <c r="K1397" i="13"/>
  <c r="K1398" i="13"/>
  <c r="K1399" i="13"/>
  <c r="K1400" i="13"/>
  <c r="K1401" i="13"/>
  <c r="K1402" i="13"/>
  <c r="K1403" i="13"/>
  <c r="K1404" i="13"/>
  <c r="K1405" i="13"/>
  <c r="K1406" i="13"/>
  <c r="K1407" i="13"/>
  <c r="K1408" i="13"/>
  <c r="K1409" i="13"/>
  <c r="K1410" i="13"/>
  <c r="K1411" i="13"/>
  <c r="K1412" i="13"/>
  <c r="K1413" i="13"/>
  <c r="K1414" i="13"/>
  <c r="K1415" i="13"/>
  <c r="K1416" i="13"/>
  <c r="K1417" i="13"/>
  <c r="K1418" i="13"/>
  <c r="K1419" i="13"/>
  <c r="K1420" i="13"/>
  <c r="K1421" i="13"/>
  <c r="K1422" i="13"/>
  <c r="K1423" i="13"/>
  <c r="K1424" i="13"/>
  <c r="K1425" i="13"/>
  <c r="K1426" i="13"/>
  <c r="K1427" i="13"/>
  <c r="K1428" i="13"/>
  <c r="K1429" i="13"/>
  <c r="K1430" i="13"/>
  <c r="K1431" i="13"/>
  <c r="K1432" i="13"/>
  <c r="K1433" i="13"/>
  <c r="K1434" i="13"/>
  <c r="K1435" i="13"/>
  <c r="K1436" i="13"/>
  <c r="K1437" i="13"/>
  <c r="K1438" i="13"/>
  <c r="K1439" i="13"/>
  <c r="K1440" i="13"/>
  <c r="K1441" i="13"/>
  <c r="K1442" i="13"/>
  <c r="K1443" i="13"/>
  <c r="K1444" i="13"/>
  <c r="K1445" i="13"/>
  <c r="K1446" i="13"/>
  <c r="K1447" i="13"/>
  <c r="K1448" i="13"/>
  <c r="K1449" i="13"/>
  <c r="K1450" i="13"/>
  <c r="K1451" i="13"/>
  <c r="K1452" i="13"/>
  <c r="K1453" i="13"/>
  <c r="K1454" i="13"/>
  <c r="K1455" i="13"/>
  <c r="K1456" i="13"/>
  <c r="K1457" i="13"/>
  <c r="K1458" i="13"/>
  <c r="K1459" i="13"/>
  <c r="K1460" i="13"/>
  <c r="K1461" i="13"/>
  <c r="K1462" i="13"/>
  <c r="K1463" i="13"/>
  <c r="K1464" i="13"/>
  <c r="K1465" i="13"/>
  <c r="K1466" i="13"/>
  <c r="K1467" i="13"/>
  <c r="K1468" i="13"/>
  <c r="K1469" i="13"/>
  <c r="K1470" i="13"/>
  <c r="K1471" i="13"/>
  <c r="K1472" i="13"/>
  <c r="K1473" i="13"/>
  <c r="K1474" i="13"/>
  <c r="K1475" i="13"/>
  <c r="K1476" i="13"/>
  <c r="K1477" i="13"/>
  <c r="K1478" i="13"/>
  <c r="K1479" i="13"/>
  <c r="K1480" i="13"/>
  <c r="K1481" i="13"/>
  <c r="K1482" i="13"/>
  <c r="K1483" i="13"/>
  <c r="K1484" i="13"/>
  <c r="K1485" i="13"/>
  <c r="K1486" i="13"/>
  <c r="K1487" i="13"/>
  <c r="K1488" i="13"/>
  <c r="K1489" i="13"/>
  <c r="K1490" i="13"/>
  <c r="K1491" i="13"/>
  <c r="K1492" i="13"/>
  <c r="K1493" i="13"/>
  <c r="K1494" i="13"/>
  <c r="K1495" i="13"/>
  <c r="K1496" i="13"/>
  <c r="K1497" i="13"/>
  <c r="K1498" i="13"/>
  <c r="K1499" i="13"/>
  <c r="K1500" i="13"/>
  <c r="K1501" i="13"/>
  <c r="K1502" i="13"/>
  <c r="K1503" i="13"/>
  <c r="K1504" i="13"/>
  <c r="K1505" i="13"/>
  <c r="K1506" i="13"/>
  <c r="K1507" i="13"/>
  <c r="K1508" i="13"/>
  <c r="K1509" i="13"/>
  <c r="K1510" i="13"/>
  <c r="K1511" i="13"/>
  <c r="K1512" i="13"/>
  <c r="K1513" i="13"/>
  <c r="K1514" i="13"/>
  <c r="K1515" i="13"/>
  <c r="K1516" i="13"/>
  <c r="K1517" i="13"/>
  <c r="K1518" i="13"/>
  <c r="K1519" i="13"/>
  <c r="K1520" i="13"/>
  <c r="K1521" i="13"/>
  <c r="K1522" i="13"/>
  <c r="K1523" i="13"/>
  <c r="K1524" i="13"/>
  <c r="K1525" i="13"/>
  <c r="K1526" i="13"/>
  <c r="G495" i="13"/>
  <c r="H495" i="13"/>
  <c r="G496" i="13"/>
  <c r="H496" i="13"/>
  <c r="G497" i="13"/>
  <c r="H497" i="13"/>
  <c r="G498" i="13"/>
  <c r="H498" i="13"/>
  <c r="G499" i="13"/>
  <c r="H499" i="13"/>
  <c r="G500" i="13"/>
  <c r="H500" i="13"/>
  <c r="G501" i="13"/>
  <c r="H501" i="13"/>
  <c r="G502" i="13"/>
  <c r="H502" i="13"/>
  <c r="G503" i="13"/>
  <c r="H503" i="13"/>
  <c r="G504" i="13"/>
  <c r="H504" i="13"/>
  <c r="G505" i="13"/>
  <c r="H505" i="13"/>
  <c r="G506" i="13"/>
  <c r="H506" i="13"/>
  <c r="G507" i="13"/>
  <c r="H507" i="13"/>
  <c r="G508" i="13"/>
  <c r="H508" i="13"/>
  <c r="G509" i="13"/>
  <c r="H509" i="13"/>
  <c r="G510" i="13"/>
  <c r="H510" i="13"/>
  <c r="G511" i="13"/>
  <c r="H511" i="13"/>
  <c r="G512" i="13"/>
  <c r="H512" i="13"/>
  <c r="G513" i="13"/>
  <c r="H513" i="13"/>
  <c r="G514" i="13"/>
  <c r="H514" i="13"/>
  <c r="G515" i="13"/>
  <c r="H515" i="13"/>
  <c r="G516" i="13"/>
  <c r="H516" i="13"/>
  <c r="G517" i="13"/>
  <c r="H517" i="13"/>
  <c r="G518" i="13"/>
  <c r="H518" i="13"/>
  <c r="G519" i="13"/>
  <c r="H519" i="13"/>
  <c r="G520" i="13"/>
  <c r="H520" i="13"/>
  <c r="G521" i="13"/>
  <c r="H521" i="13"/>
  <c r="G522" i="13"/>
  <c r="H522" i="13"/>
  <c r="G523" i="13"/>
  <c r="H523" i="13"/>
  <c r="G524" i="13"/>
  <c r="H524" i="13"/>
  <c r="G525" i="13"/>
  <c r="H525" i="13"/>
  <c r="G526" i="13"/>
  <c r="H526" i="13"/>
  <c r="G527" i="13"/>
  <c r="H527" i="13"/>
  <c r="G528" i="13"/>
  <c r="H528" i="13"/>
  <c r="G529" i="13"/>
  <c r="H529" i="13"/>
  <c r="G530" i="13"/>
  <c r="H530" i="13"/>
  <c r="G531" i="13"/>
  <c r="H531" i="13"/>
  <c r="G532" i="13"/>
  <c r="H532" i="13"/>
  <c r="G533" i="13"/>
  <c r="H533" i="13"/>
  <c r="G534" i="13"/>
  <c r="H534" i="13"/>
  <c r="G535" i="13"/>
  <c r="H535" i="13"/>
  <c r="G536" i="13"/>
  <c r="H536" i="13"/>
  <c r="G537" i="13"/>
  <c r="H537" i="13"/>
  <c r="G538" i="13"/>
  <c r="H538" i="13"/>
  <c r="G539" i="13"/>
  <c r="H539" i="13"/>
  <c r="G540" i="13"/>
  <c r="H540" i="13"/>
  <c r="G541" i="13"/>
  <c r="H541" i="13"/>
  <c r="G542" i="13"/>
  <c r="H542" i="13"/>
  <c r="G543" i="13"/>
  <c r="H543" i="13"/>
  <c r="G544" i="13"/>
  <c r="H544" i="13"/>
  <c r="G545" i="13"/>
  <c r="H545" i="13"/>
  <c r="G546" i="13"/>
  <c r="H546" i="13"/>
  <c r="G547" i="13"/>
  <c r="H547" i="13"/>
  <c r="G548" i="13"/>
  <c r="H548" i="13"/>
  <c r="G549" i="13"/>
  <c r="H549" i="13"/>
  <c r="G550" i="13"/>
  <c r="H550" i="13"/>
  <c r="G551" i="13"/>
  <c r="H551" i="13"/>
  <c r="G552" i="13"/>
  <c r="H552" i="13"/>
  <c r="G553" i="13"/>
  <c r="H553" i="13"/>
  <c r="G554" i="13"/>
  <c r="H554" i="13"/>
  <c r="G555" i="13"/>
  <c r="H555" i="13"/>
  <c r="G556" i="13"/>
  <c r="H556" i="13"/>
  <c r="G557" i="13"/>
  <c r="H557" i="13"/>
  <c r="G558" i="13"/>
  <c r="H558" i="13"/>
  <c r="G559" i="13"/>
  <c r="H559" i="13"/>
  <c r="G560" i="13"/>
  <c r="H560" i="13"/>
  <c r="G561" i="13"/>
  <c r="H561" i="13"/>
  <c r="G562" i="13"/>
  <c r="H562" i="13"/>
  <c r="G563" i="13"/>
  <c r="H563" i="13"/>
  <c r="G564" i="13"/>
  <c r="H564" i="13"/>
  <c r="G565" i="13"/>
  <c r="H565" i="13"/>
  <c r="G566" i="13"/>
  <c r="H566" i="13"/>
  <c r="G567" i="13"/>
  <c r="H567" i="13"/>
  <c r="G568" i="13"/>
  <c r="H568" i="13"/>
  <c r="G569" i="13"/>
  <c r="H569" i="13"/>
  <c r="G570" i="13"/>
  <c r="H570" i="13"/>
  <c r="G571" i="13"/>
  <c r="H571" i="13"/>
  <c r="G572" i="13"/>
  <c r="H572" i="13"/>
  <c r="G573" i="13"/>
  <c r="H573" i="13"/>
  <c r="G574" i="13"/>
  <c r="H574" i="13"/>
  <c r="G575" i="13"/>
  <c r="H575" i="13"/>
  <c r="G576" i="13"/>
  <c r="H576" i="13"/>
  <c r="G577" i="13"/>
  <c r="H577" i="13"/>
  <c r="G578" i="13"/>
  <c r="H578" i="13"/>
  <c r="G579" i="13"/>
  <c r="H579" i="13"/>
  <c r="G580" i="13"/>
  <c r="H580" i="13"/>
  <c r="G581" i="13"/>
  <c r="H581" i="13"/>
  <c r="G582" i="13"/>
  <c r="H582" i="13"/>
  <c r="G583" i="13"/>
  <c r="H583" i="13"/>
  <c r="G584" i="13"/>
  <c r="H584" i="13"/>
  <c r="G585" i="13"/>
  <c r="H585" i="13"/>
  <c r="G586" i="13"/>
  <c r="H586" i="13"/>
  <c r="G587" i="13"/>
  <c r="H587" i="13"/>
  <c r="G588" i="13"/>
  <c r="H588" i="13"/>
  <c r="G589" i="13"/>
  <c r="H589" i="13"/>
  <c r="G590" i="13"/>
  <c r="H590" i="13"/>
  <c r="G591" i="13"/>
  <c r="H591" i="13"/>
  <c r="G592" i="13"/>
  <c r="H592" i="13"/>
  <c r="G593" i="13"/>
  <c r="H593" i="13"/>
  <c r="G594" i="13"/>
  <c r="H594" i="13"/>
  <c r="G595" i="13"/>
  <c r="H595" i="13"/>
  <c r="G596" i="13"/>
  <c r="H596" i="13"/>
  <c r="G597" i="13"/>
  <c r="H597" i="13"/>
  <c r="G598" i="13"/>
  <c r="H598" i="13"/>
  <c r="G599" i="13"/>
  <c r="H599" i="13"/>
  <c r="G600" i="13"/>
  <c r="H600" i="13"/>
  <c r="G601" i="13"/>
  <c r="H601" i="13"/>
  <c r="G602" i="13"/>
  <c r="H602" i="13"/>
  <c r="G603" i="13"/>
  <c r="H603" i="13"/>
  <c r="G604" i="13"/>
  <c r="H604" i="13"/>
  <c r="G605" i="13"/>
  <c r="H605" i="13"/>
  <c r="G606" i="13"/>
  <c r="H606" i="13"/>
  <c r="G607" i="13"/>
  <c r="H607" i="13"/>
  <c r="G608" i="13"/>
  <c r="H608" i="13"/>
  <c r="G609" i="13"/>
  <c r="H609" i="13"/>
  <c r="G610" i="13"/>
  <c r="H610" i="13"/>
  <c r="G611" i="13"/>
  <c r="H611" i="13"/>
  <c r="G612" i="13"/>
  <c r="H612" i="13"/>
  <c r="G613" i="13"/>
  <c r="H613" i="13"/>
  <c r="G614" i="13"/>
  <c r="H614" i="13"/>
  <c r="G615" i="13"/>
  <c r="H615" i="13"/>
  <c r="G616" i="13"/>
  <c r="H616" i="13"/>
  <c r="G617" i="13"/>
  <c r="H617" i="13"/>
  <c r="G618" i="13"/>
  <c r="H618" i="13"/>
  <c r="G619" i="13"/>
  <c r="H619" i="13"/>
  <c r="G620" i="13"/>
  <c r="H620" i="13"/>
  <c r="G621" i="13"/>
  <c r="H621" i="13"/>
  <c r="G622" i="13"/>
  <c r="H622" i="13"/>
  <c r="G623" i="13"/>
  <c r="H623" i="13"/>
  <c r="G624" i="13"/>
  <c r="H624" i="13"/>
  <c r="G625" i="13"/>
  <c r="H625" i="13"/>
  <c r="G626" i="13"/>
  <c r="H626" i="13"/>
  <c r="G627" i="13"/>
  <c r="H627" i="13"/>
  <c r="G628" i="13"/>
  <c r="H628" i="13"/>
  <c r="G629" i="13"/>
  <c r="H629" i="13"/>
  <c r="G630" i="13"/>
  <c r="H630" i="13"/>
  <c r="G631" i="13"/>
  <c r="H631" i="13"/>
  <c r="G632" i="13"/>
  <c r="H632" i="13"/>
  <c r="G633" i="13"/>
  <c r="H633" i="13"/>
  <c r="G634" i="13"/>
  <c r="H634" i="13"/>
  <c r="G635" i="13"/>
  <c r="H635" i="13"/>
  <c r="G636" i="13"/>
  <c r="H636" i="13"/>
  <c r="G637" i="13"/>
  <c r="H637" i="13"/>
  <c r="G638" i="13"/>
  <c r="H638" i="13"/>
  <c r="G639" i="13"/>
  <c r="H639" i="13"/>
  <c r="G640" i="13"/>
  <c r="H640" i="13"/>
  <c r="G641" i="13"/>
  <c r="H641" i="13"/>
  <c r="G642" i="13"/>
  <c r="H642" i="13"/>
  <c r="G643" i="13"/>
  <c r="H643" i="13"/>
  <c r="G644" i="13"/>
  <c r="H644" i="13"/>
  <c r="G645" i="13"/>
  <c r="H645" i="13"/>
  <c r="G646" i="13"/>
  <c r="H646" i="13"/>
  <c r="G647" i="13"/>
  <c r="H647" i="13"/>
  <c r="G648" i="13"/>
  <c r="H648" i="13"/>
  <c r="G649" i="13"/>
  <c r="H649" i="13"/>
  <c r="G650" i="13"/>
  <c r="H650" i="13"/>
  <c r="G651" i="13"/>
  <c r="H651" i="13"/>
  <c r="G652" i="13"/>
  <c r="H652" i="13"/>
  <c r="G653" i="13"/>
  <c r="H653" i="13"/>
  <c r="G654" i="13"/>
  <c r="H654" i="13"/>
  <c r="G655" i="13"/>
  <c r="H655" i="13"/>
  <c r="G656" i="13"/>
  <c r="H656" i="13"/>
  <c r="G657" i="13"/>
  <c r="H657" i="13"/>
  <c r="G658" i="13"/>
  <c r="H658" i="13"/>
  <c r="G659" i="13"/>
  <c r="H659" i="13"/>
  <c r="G660" i="13"/>
  <c r="H660" i="13"/>
  <c r="G661" i="13"/>
  <c r="H661" i="13"/>
  <c r="G662" i="13"/>
  <c r="H662" i="13"/>
  <c r="G663" i="13"/>
  <c r="H663" i="13"/>
  <c r="G664" i="13"/>
  <c r="H664" i="13"/>
  <c r="G665" i="13"/>
  <c r="H665" i="13"/>
  <c r="G666" i="13"/>
  <c r="H666" i="13"/>
  <c r="G667" i="13"/>
  <c r="H667" i="13"/>
  <c r="G668" i="13"/>
  <c r="H668" i="13"/>
  <c r="G669" i="13"/>
  <c r="H669" i="13"/>
  <c r="G670" i="13"/>
  <c r="H670" i="13"/>
  <c r="G671" i="13"/>
  <c r="H671" i="13"/>
  <c r="G672" i="13"/>
  <c r="H672" i="13"/>
  <c r="G673" i="13"/>
  <c r="H673" i="13"/>
  <c r="G674" i="13"/>
  <c r="H674" i="13"/>
  <c r="G675" i="13"/>
  <c r="H675" i="13"/>
  <c r="G676" i="13"/>
  <c r="H676" i="13"/>
  <c r="G677" i="13"/>
  <c r="H677" i="13"/>
  <c r="G678" i="13"/>
  <c r="H678" i="13"/>
  <c r="G679" i="13"/>
  <c r="H679" i="13"/>
  <c r="G680" i="13"/>
  <c r="H680" i="13"/>
  <c r="G681" i="13"/>
  <c r="H681" i="13"/>
  <c r="G682" i="13"/>
  <c r="H682" i="13"/>
  <c r="G683" i="13"/>
  <c r="H683" i="13"/>
  <c r="G684" i="13"/>
  <c r="H684" i="13"/>
  <c r="G685" i="13"/>
  <c r="H685" i="13"/>
  <c r="G686" i="13"/>
  <c r="H686" i="13"/>
  <c r="G687" i="13"/>
  <c r="H687" i="13"/>
  <c r="G688" i="13"/>
  <c r="H688" i="13"/>
  <c r="G689" i="13"/>
  <c r="H689" i="13"/>
  <c r="G690" i="13"/>
  <c r="H690" i="13"/>
  <c r="G691" i="13"/>
  <c r="H691" i="13"/>
  <c r="G692" i="13"/>
  <c r="H692" i="13"/>
  <c r="G693" i="13"/>
  <c r="H693" i="13"/>
  <c r="G694" i="13"/>
  <c r="H694" i="13"/>
  <c r="G695" i="13"/>
  <c r="H695" i="13"/>
  <c r="G696" i="13"/>
  <c r="H696" i="13"/>
  <c r="G697" i="13"/>
  <c r="H697" i="13"/>
  <c r="G698" i="13"/>
  <c r="H698" i="13"/>
  <c r="G699" i="13"/>
  <c r="H699" i="13"/>
  <c r="G700" i="13"/>
  <c r="H700" i="13"/>
  <c r="G701" i="13"/>
  <c r="H701" i="13"/>
  <c r="G702" i="13"/>
  <c r="H702" i="13"/>
  <c r="G703" i="13"/>
  <c r="H703" i="13"/>
  <c r="G704" i="13"/>
  <c r="H704" i="13"/>
  <c r="G705" i="13"/>
  <c r="H705" i="13"/>
  <c r="G706" i="13"/>
  <c r="H706" i="13"/>
  <c r="G707" i="13"/>
  <c r="H707" i="13"/>
  <c r="G708" i="13"/>
  <c r="H708" i="13"/>
  <c r="G709" i="13"/>
  <c r="H709" i="13"/>
  <c r="G710" i="13"/>
  <c r="H710" i="13"/>
  <c r="G711" i="13"/>
  <c r="H711" i="13"/>
  <c r="G712" i="13"/>
  <c r="H712" i="13"/>
  <c r="G713" i="13"/>
  <c r="H713" i="13"/>
  <c r="G714" i="13"/>
  <c r="H714" i="13"/>
  <c r="G715" i="13"/>
  <c r="H715" i="13"/>
  <c r="G716" i="13"/>
  <c r="H716" i="13"/>
  <c r="G717" i="13"/>
  <c r="H717" i="13"/>
  <c r="G718" i="13"/>
  <c r="H718" i="13"/>
  <c r="G719" i="13"/>
  <c r="H719" i="13"/>
  <c r="G720" i="13"/>
  <c r="H720" i="13"/>
  <c r="G721" i="13"/>
  <c r="H721" i="13"/>
  <c r="G722" i="13"/>
  <c r="H722" i="13"/>
  <c r="G723" i="13"/>
  <c r="H723" i="13"/>
  <c r="G724" i="13"/>
  <c r="H724" i="13"/>
  <c r="G725" i="13"/>
  <c r="H725" i="13"/>
  <c r="G726" i="13"/>
  <c r="H726" i="13"/>
  <c r="G727" i="13"/>
  <c r="H727" i="13"/>
  <c r="G728" i="13"/>
  <c r="H728" i="13"/>
  <c r="G729" i="13"/>
  <c r="H729" i="13"/>
  <c r="G730" i="13"/>
  <c r="H730" i="13"/>
  <c r="G731" i="13"/>
  <c r="H731" i="13"/>
  <c r="G732" i="13"/>
  <c r="H732" i="13"/>
  <c r="G733" i="13"/>
  <c r="H733" i="13"/>
  <c r="G734" i="13"/>
  <c r="H734" i="13"/>
  <c r="G735" i="13"/>
  <c r="H735" i="13"/>
  <c r="G736" i="13"/>
  <c r="H736" i="13"/>
  <c r="G737" i="13"/>
  <c r="H737" i="13"/>
  <c r="G738" i="13"/>
  <c r="H738" i="13"/>
  <c r="G739" i="13"/>
  <c r="H739" i="13"/>
  <c r="G740" i="13"/>
  <c r="H740" i="13"/>
  <c r="G741" i="13"/>
  <c r="H741" i="13"/>
  <c r="G742" i="13"/>
  <c r="H742" i="13"/>
  <c r="G743" i="13"/>
  <c r="H743" i="13"/>
  <c r="G744" i="13"/>
  <c r="H744" i="13"/>
  <c r="G745" i="13"/>
  <c r="H745" i="13"/>
  <c r="G746" i="13"/>
  <c r="H746" i="13"/>
  <c r="G747" i="13"/>
  <c r="H747" i="13"/>
  <c r="G748" i="13"/>
  <c r="H748" i="13"/>
  <c r="G749" i="13"/>
  <c r="H749" i="13"/>
  <c r="G750" i="13"/>
  <c r="H750" i="13"/>
  <c r="G751" i="13"/>
  <c r="H751" i="13"/>
  <c r="G752" i="13"/>
  <c r="H752" i="13"/>
  <c r="G753" i="13"/>
  <c r="H753" i="13"/>
  <c r="G754" i="13"/>
  <c r="H754" i="13"/>
  <c r="G755" i="13"/>
  <c r="H755" i="13"/>
  <c r="G756" i="13"/>
  <c r="H756" i="13"/>
  <c r="G757" i="13"/>
  <c r="H757" i="13"/>
  <c r="G758" i="13"/>
  <c r="H758" i="13"/>
  <c r="G759" i="13"/>
  <c r="H759" i="13"/>
  <c r="G760" i="13"/>
  <c r="H760" i="13"/>
  <c r="G761" i="13"/>
  <c r="H761" i="13"/>
  <c r="G762" i="13"/>
  <c r="H762" i="13"/>
  <c r="G763" i="13"/>
  <c r="H763" i="13"/>
  <c r="G764" i="13"/>
  <c r="H764" i="13"/>
  <c r="G765" i="13"/>
  <c r="H765" i="13"/>
  <c r="G766" i="13"/>
  <c r="H766" i="13"/>
  <c r="G767" i="13"/>
  <c r="H767" i="13"/>
  <c r="G768" i="13"/>
  <c r="H768" i="13"/>
  <c r="G769" i="13"/>
  <c r="H769" i="13"/>
  <c r="G770" i="13"/>
  <c r="H770" i="13"/>
  <c r="G771" i="13"/>
  <c r="H771" i="13"/>
  <c r="G772" i="13"/>
  <c r="H772" i="13"/>
  <c r="G773" i="13"/>
  <c r="H773" i="13"/>
  <c r="G774" i="13"/>
  <c r="H774" i="13"/>
  <c r="G775" i="13"/>
  <c r="H775" i="13"/>
  <c r="G776" i="13"/>
  <c r="H776" i="13"/>
  <c r="G777" i="13"/>
  <c r="H777" i="13"/>
  <c r="G778" i="13"/>
  <c r="H778" i="13"/>
  <c r="G779" i="13"/>
  <c r="H779" i="13"/>
  <c r="G780" i="13"/>
  <c r="H780" i="13"/>
  <c r="G781" i="13"/>
  <c r="H781" i="13"/>
  <c r="G782" i="13"/>
  <c r="H782" i="13"/>
  <c r="G783" i="13"/>
  <c r="H783" i="13"/>
  <c r="G784" i="13"/>
  <c r="H784" i="13"/>
  <c r="G785" i="13"/>
  <c r="H785" i="13"/>
  <c r="G786" i="13"/>
  <c r="H786" i="13"/>
  <c r="G787" i="13"/>
  <c r="H787" i="13"/>
  <c r="G788" i="13"/>
  <c r="H788" i="13"/>
  <c r="G789" i="13"/>
  <c r="H789" i="13"/>
  <c r="G790" i="13"/>
  <c r="H790" i="13"/>
  <c r="G791" i="13"/>
  <c r="H791" i="13"/>
  <c r="G792" i="13"/>
  <c r="H792" i="13"/>
  <c r="G793" i="13"/>
  <c r="H793" i="13"/>
  <c r="G794" i="13"/>
  <c r="H794" i="13"/>
  <c r="G795" i="13"/>
  <c r="H795" i="13"/>
  <c r="G796" i="13"/>
  <c r="H796" i="13"/>
  <c r="G797" i="13"/>
  <c r="H797" i="13"/>
  <c r="G798" i="13"/>
  <c r="H798" i="13"/>
  <c r="G799" i="13"/>
  <c r="H799" i="13"/>
  <c r="G800" i="13"/>
  <c r="H800" i="13"/>
  <c r="G801" i="13"/>
  <c r="H801" i="13"/>
  <c r="G802" i="13"/>
  <c r="H802" i="13"/>
  <c r="G803" i="13"/>
  <c r="H803" i="13"/>
  <c r="G804" i="13"/>
  <c r="H804" i="13"/>
  <c r="G805" i="13"/>
  <c r="H805" i="13"/>
  <c r="G806" i="13"/>
  <c r="H806" i="13"/>
  <c r="G807" i="13"/>
  <c r="H807" i="13"/>
  <c r="G808" i="13"/>
  <c r="H808" i="13"/>
  <c r="G809" i="13"/>
  <c r="H809" i="13"/>
  <c r="G810" i="13"/>
  <c r="H810" i="13"/>
  <c r="G811" i="13"/>
  <c r="H811" i="13"/>
  <c r="G812" i="13"/>
  <c r="H812" i="13"/>
  <c r="G813" i="13"/>
  <c r="H813" i="13"/>
  <c r="G814" i="13"/>
  <c r="H814" i="13"/>
  <c r="G815" i="13"/>
  <c r="H815" i="13"/>
  <c r="G816" i="13"/>
  <c r="H816" i="13"/>
  <c r="G817" i="13"/>
  <c r="H817" i="13"/>
  <c r="G818" i="13"/>
  <c r="H818" i="13"/>
  <c r="G819" i="13"/>
  <c r="H819" i="13"/>
  <c r="G820" i="13"/>
  <c r="H820" i="13"/>
  <c r="G821" i="13"/>
  <c r="H821" i="13"/>
  <c r="G822" i="13"/>
  <c r="H822" i="13"/>
  <c r="G823" i="13"/>
  <c r="H823" i="13"/>
  <c r="G824" i="13"/>
  <c r="H824" i="13"/>
  <c r="G825" i="13"/>
  <c r="H825" i="13"/>
  <c r="G826" i="13"/>
  <c r="H826" i="13"/>
  <c r="G827" i="13"/>
  <c r="H827" i="13"/>
  <c r="G828" i="13"/>
  <c r="H828" i="13"/>
  <c r="G829" i="13"/>
  <c r="H829" i="13"/>
  <c r="G830" i="13"/>
  <c r="H830" i="13"/>
  <c r="G831" i="13"/>
  <c r="H831" i="13"/>
  <c r="G832" i="13"/>
  <c r="H832" i="13"/>
  <c r="G833" i="13"/>
  <c r="H833" i="13"/>
  <c r="G834" i="13"/>
  <c r="H834" i="13"/>
  <c r="G835" i="13"/>
  <c r="H835" i="13"/>
  <c r="G836" i="13"/>
  <c r="H836" i="13"/>
  <c r="G837" i="13"/>
  <c r="H837" i="13"/>
  <c r="G838" i="13"/>
  <c r="H838" i="13"/>
  <c r="G839" i="13"/>
  <c r="H839" i="13"/>
  <c r="G840" i="13"/>
  <c r="H840" i="13"/>
  <c r="G841" i="13"/>
  <c r="H841" i="13"/>
  <c r="G842" i="13"/>
  <c r="H842" i="13"/>
  <c r="G843" i="13"/>
  <c r="H843" i="13"/>
  <c r="G844" i="13"/>
  <c r="H844" i="13"/>
  <c r="G845" i="13"/>
  <c r="H845" i="13"/>
  <c r="G846" i="13"/>
  <c r="H846" i="13"/>
  <c r="G847" i="13"/>
  <c r="H847" i="13"/>
  <c r="G848" i="13"/>
  <c r="H848" i="13"/>
  <c r="G849" i="13"/>
  <c r="H849" i="13"/>
  <c r="G850" i="13"/>
  <c r="H850" i="13"/>
  <c r="G851" i="13"/>
  <c r="H851" i="13"/>
  <c r="G852" i="13"/>
  <c r="H852" i="13"/>
  <c r="G853" i="13"/>
  <c r="H853" i="13"/>
  <c r="G854" i="13"/>
  <c r="H854" i="13"/>
  <c r="G855" i="13"/>
  <c r="H855" i="13"/>
  <c r="G856" i="13"/>
  <c r="H856" i="13"/>
  <c r="G857" i="13"/>
  <c r="H857" i="13"/>
  <c r="G858" i="13"/>
  <c r="H858" i="13"/>
  <c r="G859" i="13"/>
  <c r="H859" i="13"/>
  <c r="G860" i="13"/>
  <c r="H860" i="13"/>
  <c r="G861" i="13"/>
  <c r="H861" i="13"/>
  <c r="G862" i="13"/>
  <c r="H862" i="13"/>
  <c r="G863" i="13"/>
  <c r="H863" i="13"/>
  <c r="G864" i="13"/>
  <c r="H864" i="13"/>
  <c r="G865" i="13"/>
  <c r="H865" i="13"/>
  <c r="G866" i="13"/>
  <c r="H866" i="13"/>
  <c r="G867" i="13"/>
  <c r="H867" i="13"/>
  <c r="G868" i="13"/>
  <c r="H868" i="13"/>
  <c r="G869" i="13"/>
  <c r="H869" i="13"/>
  <c r="G870" i="13"/>
  <c r="H870" i="13"/>
  <c r="G871" i="13"/>
  <c r="H871" i="13"/>
  <c r="G872" i="13"/>
  <c r="H872" i="13"/>
  <c r="G873" i="13"/>
  <c r="H873" i="13"/>
  <c r="G874" i="13"/>
  <c r="H874" i="13"/>
  <c r="G875" i="13"/>
  <c r="H875" i="13"/>
  <c r="G876" i="13"/>
  <c r="H876" i="13"/>
  <c r="G877" i="13"/>
  <c r="H877" i="13"/>
  <c r="G878" i="13"/>
  <c r="H878" i="13"/>
  <c r="G879" i="13"/>
  <c r="H879" i="13"/>
  <c r="G880" i="13"/>
  <c r="H880" i="13"/>
  <c r="G881" i="13"/>
  <c r="H881" i="13"/>
  <c r="G882" i="13"/>
  <c r="H882" i="13"/>
  <c r="G883" i="13"/>
  <c r="H883" i="13"/>
  <c r="G884" i="13"/>
  <c r="H884" i="13"/>
  <c r="G885" i="13"/>
  <c r="H885" i="13"/>
  <c r="G886" i="13"/>
  <c r="H886" i="13"/>
  <c r="G887" i="13"/>
  <c r="H887" i="13"/>
  <c r="G888" i="13"/>
  <c r="H888" i="13"/>
  <c r="G889" i="13"/>
  <c r="H889" i="13"/>
  <c r="G890" i="13"/>
  <c r="H890" i="13"/>
  <c r="G891" i="13"/>
  <c r="H891" i="13"/>
  <c r="G892" i="13"/>
  <c r="H892" i="13"/>
  <c r="G893" i="13"/>
  <c r="H893" i="13"/>
  <c r="G894" i="13"/>
  <c r="H894" i="13"/>
  <c r="G895" i="13"/>
  <c r="H895" i="13"/>
  <c r="G896" i="13"/>
  <c r="H896" i="13"/>
  <c r="G897" i="13"/>
  <c r="H897" i="13"/>
  <c r="G898" i="13"/>
  <c r="H898" i="13"/>
  <c r="G899" i="13"/>
  <c r="H899" i="13"/>
  <c r="G900" i="13"/>
  <c r="H900" i="13"/>
  <c r="G901" i="13"/>
  <c r="H901" i="13"/>
  <c r="G902" i="13"/>
  <c r="H902" i="13"/>
  <c r="G903" i="13"/>
  <c r="H903" i="13"/>
  <c r="G904" i="13"/>
  <c r="H904" i="13"/>
  <c r="G905" i="13"/>
  <c r="H905" i="13"/>
  <c r="G906" i="13"/>
  <c r="H906" i="13"/>
  <c r="G907" i="13"/>
  <c r="H907" i="13"/>
  <c r="G908" i="13"/>
  <c r="H908" i="13"/>
  <c r="G909" i="13"/>
  <c r="H909" i="13"/>
  <c r="G910" i="13"/>
  <c r="H910" i="13"/>
  <c r="G911" i="13"/>
  <c r="H911" i="13"/>
  <c r="G912" i="13"/>
  <c r="H912" i="13"/>
  <c r="G913" i="13"/>
  <c r="H913" i="13"/>
  <c r="G914" i="13"/>
  <c r="H914" i="13"/>
  <c r="G915" i="13"/>
  <c r="H915" i="13"/>
  <c r="G916" i="13"/>
  <c r="H916" i="13"/>
  <c r="G917" i="13"/>
  <c r="H917" i="13"/>
  <c r="G918" i="13"/>
  <c r="H918" i="13"/>
  <c r="G919" i="13"/>
  <c r="H919" i="13"/>
  <c r="G920" i="13"/>
  <c r="H920" i="13"/>
  <c r="G921" i="13"/>
  <c r="H921" i="13"/>
  <c r="G922" i="13"/>
  <c r="H922" i="13"/>
  <c r="G923" i="13"/>
  <c r="H923" i="13"/>
  <c r="G924" i="13"/>
  <c r="H924" i="13"/>
  <c r="G925" i="13"/>
  <c r="H925" i="13"/>
  <c r="G926" i="13"/>
  <c r="H926" i="13"/>
  <c r="G927" i="13"/>
  <c r="H927" i="13"/>
  <c r="G928" i="13"/>
  <c r="H928" i="13"/>
  <c r="G929" i="13"/>
  <c r="H929" i="13"/>
  <c r="G930" i="13"/>
  <c r="H930" i="13"/>
  <c r="G931" i="13"/>
  <c r="H931" i="13"/>
  <c r="G932" i="13"/>
  <c r="H932" i="13"/>
  <c r="G933" i="13"/>
  <c r="H933" i="13"/>
  <c r="G934" i="13"/>
  <c r="H934" i="13"/>
  <c r="G935" i="13"/>
  <c r="H935" i="13"/>
  <c r="G936" i="13"/>
  <c r="H936" i="13"/>
  <c r="G937" i="13"/>
  <c r="H937" i="13"/>
  <c r="G938" i="13"/>
  <c r="H938" i="13"/>
  <c r="G939" i="13"/>
  <c r="H939" i="13"/>
  <c r="G940" i="13"/>
  <c r="H940" i="13"/>
  <c r="G941" i="13"/>
  <c r="H941" i="13"/>
  <c r="G942" i="13"/>
  <c r="H942" i="13"/>
  <c r="G943" i="13"/>
  <c r="H943" i="13"/>
  <c r="G944" i="13"/>
  <c r="H944" i="13"/>
  <c r="G945" i="13"/>
  <c r="H945" i="13"/>
  <c r="G946" i="13"/>
  <c r="H946" i="13"/>
  <c r="G947" i="13"/>
  <c r="H947" i="13"/>
  <c r="G948" i="13"/>
  <c r="H948" i="13"/>
  <c r="G949" i="13"/>
  <c r="H949" i="13"/>
  <c r="G950" i="13"/>
  <c r="H950" i="13"/>
  <c r="G951" i="13"/>
  <c r="H951" i="13"/>
  <c r="G952" i="13"/>
  <c r="H952" i="13"/>
  <c r="G953" i="13"/>
  <c r="H953" i="13"/>
  <c r="G954" i="13"/>
  <c r="H954" i="13"/>
  <c r="G955" i="13"/>
  <c r="H955" i="13"/>
  <c r="G956" i="13"/>
  <c r="H956" i="13"/>
  <c r="G957" i="13"/>
  <c r="H957" i="13"/>
  <c r="G958" i="13"/>
  <c r="H958" i="13"/>
  <c r="G959" i="13"/>
  <c r="H959" i="13"/>
  <c r="G960" i="13"/>
  <c r="H960" i="13"/>
  <c r="G961" i="13"/>
  <c r="H961" i="13"/>
  <c r="G962" i="13"/>
  <c r="H962" i="13"/>
  <c r="G963" i="13"/>
  <c r="H963" i="13"/>
  <c r="G964" i="13"/>
  <c r="H964" i="13"/>
  <c r="G965" i="13"/>
  <c r="H965" i="13"/>
  <c r="G966" i="13"/>
  <c r="H966" i="13"/>
  <c r="G967" i="13"/>
  <c r="H967" i="13"/>
  <c r="G968" i="13"/>
  <c r="H968" i="13"/>
  <c r="G969" i="13"/>
  <c r="H969" i="13"/>
  <c r="G970" i="13"/>
  <c r="H970" i="13"/>
  <c r="G971" i="13"/>
  <c r="H971" i="13"/>
  <c r="G972" i="13"/>
  <c r="H972" i="13"/>
  <c r="G973" i="13"/>
  <c r="H973" i="13"/>
  <c r="G974" i="13"/>
  <c r="H974" i="13"/>
  <c r="G975" i="13"/>
  <c r="H975" i="13"/>
  <c r="G976" i="13"/>
  <c r="H976" i="13"/>
  <c r="G977" i="13"/>
  <c r="H977" i="13"/>
  <c r="G978" i="13"/>
  <c r="H978" i="13"/>
  <c r="G979" i="13"/>
  <c r="H979" i="13"/>
  <c r="G980" i="13"/>
  <c r="H980" i="13"/>
  <c r="G981" i="13"/>
  <c r="H981" i="13"/>
  <c r="G982" i="13"/>
  <c r="H982" i="13"/>
  <c r="G983" i="13"/>
  <c r="H983" i="13"/>
  <c r="G984" i="13"/>
  <c r="H984" i="13"/>
  <c r="G985" i="13"/>
  <c r="H985" i="13"/>
  <c r="G986" i="13"/>
  <c r="H986" i="13"/>
  <c r="G987" i="13"/>
  <c r="H987" i="13"/>
  <c r="G988" i="13"/>
  <c r="H988" i="13"/>
  <c r="G989" i="13"/>
  <c r="H989" i="13"/>
  <c r="G990" i="13"/>
  <c r="H990" i="13"/>
  <c r="G991" i="13"/>
  <c r="H991" i="13"/>
  <c r="G992" i="13"/>
  <c r="H992" i="13"/>
  <c r="G993" i="13"/>
  <c r="H993" i="13"/>
  <c r="G994" i="13"/>
  <c r="H994" i="13"/>
  <c r="G995" i="13"/>
  <c r="H995" i="13"/>
  <c r="G996" i="13"/>
  <c r="H996" i="13"/>
  <c r="G997" i="13"/>
  <c r="H997" i="13"/>
  <c r="G998" i="13"/>
  <c r="H998" i="13"/>
  <c r="G999" i="13"/>
  <c r="H999" i="13"/>
  <c r="G1000" i="13"/>
  <c r="H1000" i="13"/>
  <c r="G1001" i="13"/>
  <c r="H1001" i="13"/>
  <c r="G1002" i="13"/>
  <c r="H1002" i="13"/>
  <c r="G1003" i="13"/>
  <c r="H1003" i="13"/>
  <c r="G1004" i="13"/>
  <c r="H1004" i="13"/>
  <c r="G1005" i="13"/>
  <c r="H1005" i="13"/>
  <c r="G1006" i="13"/>
  <c r="H1006" i="13"/>
  <c r="G1007" i="13"/>
  <c r="H1007" i="13"/>
  <c r="G1008" i="13"/>
  <c r="H1008" i="13"/>
  <c r="G1009" i="13"/>
  <c r="H1009" i="13"/>
  <c r="G1010" i="13"/>
  <c r="H1010" i="13"/>
  <c r="G1011" i="13"/>
  <c r="H1011" i="13"/>
  <c r="G1012" i="13"/>
  <c r="H1012" i="13"/>
  <c r="G1013" i="13"/>
  <c r="H1013" i="13"/>
  <c r="G1014" i="13"/>
  <c r="H1014" i="13"/>
  <c r="G1015" i="13"/>
  <c r="H1015" i="13"/>
  <c r="G1016" i="13"/>
  <c r="H1016" i="13"/>
  <c r="G1017" i="13"/>
  <c r="H1017" i="13"/>
  <c r="G1018" i="13"/>
  <c r="H1018" i="13"/>
  <c r="G1019" i="13"/>
  <c r="H1019" i="13"/>
  <c r="G1020" i="13"/>
  <c r="H1020" i="13"/>
  <c r="G1021" i="13"/>
  <c r="H1021" i="13"/>
  <c r="G1022" i="13"/>
  <c r="H1022" i="13"/>
  <c r="G1023" i="13"/>
  <c r="H1023" i="13"/>
  <c r="G1024" i="13"/>
  <c r="H1024" i="13"/>
  <c r="G1025" i="13"/>
  <c r="H1025" i="13"/>
  <c r="G1026" i="13"/>
  <c r="H1026" i="13"/>
  <c r="G1027" i="13"/>
  <c r="H1027" i="13"/>
  <c r="G1028" i="13"/>
  <c r="H1028" i="13"/>
  <c r="G1029" i="13"/>
  <c r="H1029" i="13"/>
  <c r="G1030" i="13"/>
  <c r="H1030" i="13"/>
  <c r="G1031" i="13"/>
  <c r="H1031" i="13"/>
  <c r="G1032" i="13"/>
  <c r="H1032" i="13"/>
  <c r="G1033" i="13"/>
  <c r="H1033" i="13"/>
  <c r="G1034" i="13"/>
  <c r="H1034" i="13"/>
  <c r="G1035" i="13"/>
  <c r="H1035" i="13"/>
  <c r="G1036" i="13"/>
  <c r="H1036" i="13"/>
  <c r="G1037" i="13"/>
  <c r="H1037" i="13"/>
  <c r="G1038" i="13"/>
  <c r="H1038" i="13"/>
  <c r="G1039" i="13"/>
  <c r="H1039" i="13"/>
  <c r="G1040" i="13"/>
  <c r="H1040" i="13"/>
  <c r="G1041" i="13"/>
  <c r="H1041" i="13"/>
  <c r="G1042" i="13"/>
  <c r="H1042" i="13"/>
  <c r="G1043" i="13"/>
  <c r="H1043" i="13"/>
  <c r="G1044" i="13"/>
  <c r="H1044" i="13"/>
  <c r="G1045" i="13"/>
  <c r="H1045" i="13"/>
  <c r="G1046" i="13"/>
  <c r="H1046" i="13"/>
  <c r="G1047" i="13"/>
  <c r="H1047" i="13"/>
  <c r="G1048" i="13"/>
  <c r="H1048" i="13"/>
  <c r="G1049" i="13"/>
  <c r="H1049" i="13"/>
  <c r="G1050" i="13"/>
  <c r="H1050" i="13"/>
  <c r="G1051" i="13"/>
  <c r="H1051" i="13"/>
  <c r="G1052" i="13"/>
  <c r="H1052" i="13"/>
  <c r="G1053" i="13"/>
  <c r="H1053" i="13"/>
  <c r="G1054" i="13"/>
  <c r="H1054" i="13"/>
  <c r="G1055" i="13"/>
  <c r="H1055" i="13"/>
  <c r="G1056" i="13"/>
  <c r="H1056" i="13"/>
  <c r="G1057" i="13"/>
  <c r="H1057" i="13"/>
  <c r="G1058" i="13"/>
  <c r="H1058" i="13"/>
  <c r="G1059" i="13"/>
  <c r="H1059" i="13"/>
  <c r="G1060" i="13"/>
  <c r="H1060" i="13"/>
  <c r="G1061" i="13"/>
  <c r="H1061" i="13"/>
  <c r="G1062" i="13"/>
  <c r="H1062" i="13"/>
  <c r="G1063" i="13"/>
  <c r="H1063" i="13"/>
  <c r="G1064" i="13"/>
  <c r="H1064" i="13"/>
  <c r="G1065" i="13"/>
  <c r="H1065" i="13"/>
  <c r="G1066" i="13"/>
  <c r="H1066" i="13"/>
  <c r="G1067" i="13"/>
  <c r="H1067" i="13"/>
  <c r="G1068" i="13"/>
  <c r="H1068" i="13"/>
  <c r="G1069" i="13"/>
  <c r="H1069" i="13"/>
  <c r="G1070" i="13"/>
  <c r="H1070" i="13"/>
  <c r="G1071" i="13"/>
  <c r="H1071" i="13"/>
  <c r="G1072" i="13"/>
  <c r="H1072" i="13"/>
  <c r="G1073" i="13"/>
  <c r="H1073" i="13"/>
  <c r="G1074" i="13"/>
  <c r="H1074" i="13"/>
  <c r="G1075" i="13"/>
  <c r="H1075" i="13"/>
  <c r="G1076" i="13"/>
  <c r="H1076" i="13"/>
  <c r="G1077" i="13"/>
  <c r="H1077" i="13"/>
  <c r="G1078" i="13"/>
  <c r="H1078" i="13"/>
  <c r="G1079" i="13"/>
  <c r="H1079" i="13"/>
  <c r="G1080" i="13"/>
  <c r="H1080" i="13"/>
  <c r="G1081" i="13"/>
  <c r="H1081" i="13"/>
  <c r="G1082" i="13"/>
  <c r="H1082" i="13"/>
  <c r="G1083" i="13"/>
  <c r="H1083" i="13"/>
  <c r="G1084" i="13"/>
  <c r="H1084" i="13"/>
  <c r="G1085" i="13"/>
  <c r="H1085" i="13"/>
  <c r="G1086" i="13"/>
  <c r="H1086" i="13"/>
  <c r="G1087" i="13"/>
  <c r="H1087" i="13"/>
  <c r="G1088" i="13"/>
  <c r="H1088" i="13"/>
  <c r="G1089" i="13"/>
  <c r="H1089" i="13"/>
  <c r="G1090" i="13"/>
  <c r="H1090" i="13"/>
  <c r="G1091" i="13"/>
  <c r="H1091" i="13"/>
  <c r="G1092" i="13"/>
  <c r="H1092" i="13"/>
  <c r="G1093" i="13"/>
  <c r="H1093" i="13"/>
  <c r="G1094" i="13"/>
  <c r="H1094" i="13"/>
  <c r="G1095" i="13"/>
  <c r="H1095" i="13"/>
  <c r="G1096" i="13"/>
  <c r="H1096" i="13"/>
  <c r="G1097" i="13"/>
  <c r="H1097" i="13"/>
  <c r="G1098" i="13"/>
  <c r="H1098" i="13"/>
  <c r="G1099" i="13"/>
  <c r="H1099" i="13"/>
  <c r="G1100" i="13"/>
  <c r="H1100" i="13"/>
  <c r="G1101" i="13"/>
  <c r="H1101" i="13"/>
  <c r="G1102" i="13"/>
  <c r="H1102" i="13"/>
  <c r="G1103" i="13"/>
  <c r="H1103" i="13"/>
  <c r="G1104" i="13"/>
  <c r="H1104" i="13"/>
  <c r="G1105" i="13"/>
  <c r="H1105" i="13"/>
  <c r="G1106" i="13"/>
  <c r="H1106" i="13"/>
  <c r="G1107" i="13"/>
  <c r="H1107" i="13"/>
  <c r="G1108" i="13"/>
  <c r="H1108" i="13"/>
  <c r="G1109" i="13"/>
  <c r="H1109" i="13"/>
  <c r="G1110" i="13"/>
  <c r="H1110" i="13"/>
  <c r="G1111" i="13"/>
  <c r="H1111" i="13"/>
  <c r="G1112" i="13"/>
  <c r="H1112" i="13"/>
  <c r="G1113" i="13"/>
  <c r="H1113" i="13"/>
  <c r="G1114" i="13"/>
  <c r="H1114" i="13"/>
  <c r="G1115" i="13"/>
  <c r="H1115" i="13"/>
  <c r="G1116" i="13"/>
  <c r="H1116" i="13"/>
  <c r="G1117" i="13"/>
  <c r="H1117" i="13"/>
  <c r="G1118" i="13"/>
  <c r="H1118" i="13"/>
  <c r="G1119" i="13"/>
  <c r="H1119" i="13"/>
  <c r="G1120" i="13"/>
  <c r="H1120" i="13"/>
  <c r="G1121" i="13"/>
  <c r="H1121" i="13"/>
  <c r="G1122" i="13"/>
  <c r="H1122" i="13"/>
  <c r="G1123" i="13"/>
  <c r="H1123" i="13"/>
  <c r="G1124" i="13"/>
  <c r="H1124" i="13"/>
  <c r="G1125" i="13"/>
  <c r="H1125" i="13"/>
  <c r="G1126" i="13"/>
  <c r="H1126" i="13"/>
  <c r="G1127" i="13"/>
  <c r="H1127" i="13"/>
  <c r="G1128" i="13"/>
  <c r="H1128" i="13"/>
  <c r="G1129" i="13"/>
  <c r="H1129" i="13"/>
  <c r="G1130" i="13"/>
  <c r="H1130" i="13"/>
  <c r="G1131" i="13"/>
  <c r="H1131" i="13"/>
  <c r="G1132" i="13"/>
  <c r="H1132" i="13"/>
  <c r="G1133" i="13"/>
  <c r="H1133" i="13"/>
  <c r="G1134" i="13"/>
  <c r="H1134" i="13"/>
  <c r="G1135" i="13"/>
  <c r="H1135" i="13"/>
  <c r="G1136" i="13"/>
  <c r="H1136" i="13"/>
  <c r="G1137" i="13"/>
  <c r="H1137" i="13"/>
  <c r="G1138" i="13"/>
  <c r="H1138" i="13"/>
  <c r="G1139" i="13"/>
  <c r="H1139" i="13"/>
  <c r="G1140" i="13"/>
  <c r="H1140" i="13"/>
  <c r="G1141" i="13"/>
  <c r="H1141" i="13"/>
  <c r="G1142" i="13"/>
  <c r="H1142" i="13"/>
  <c r="G1143" i="13"/>
  <c r="H1143" i="13"/>
  <c r="G1144" i="13"/>
  <c r="H1144" i="13"/>
  <c r="G1145" i="13"/>
  <c r="H1145" i="13"/>
  <c r="G1146" i="13"/>
  <c r="H1146" i="13"/>
  <c r="G1147" i="13"/>
  <c r="H1147" i="13"/>
  <c r="G1148" i="13"/>
  <c r="H1148" i="13"/>
  <c r="G1149" i="13"/>
  <c r="H1149" i="13"/>
  <c r="G1150" i="13"/>
  <c r="H1150" i="13"/>
  <c r="G1151" i="13"/>
  <c r="H1151" i="13"/>
  <c r="G1152" i="13"/>
  <c r="H1152" i="13"/>
  <c r="G1153" i="13"/>
  <c r="H1153" i="13"/>
  <c r="G1154" i="13"/>
  <c r="H1154" i="13"/>
  <c r="G1155" i="13"/>
  <c r="H1155" i="13"/>
  <c r="G1156" i="13"/>
  <c r="H1156" i="13"/>
  <c r="G1157" i="13"/>
  <c r="H1157" i="13"/>
  <c r="G1158" i="13"/>
  <c r="H1158" i="13"/>
  <c r="G1159" i="13"/>
  <c r="H1159" i="13"/>
  <c r="G1160" i="13"/>
  <c r="H1160" i="13"/>
  <c r="G1161" i="13"/>
  <c r="H1161" i="13"/>
  <c r="G1162" i="13"/>
  <c r="H1162" i="13"/>
  <c r="G1163" i="13"/>
  <c r="H1163" i="13"/>
  <c r="G1164" i="13"/>
  <c r="H1164" i="13"/>
  <c r="G1165" i="13"/>
  <c r="H1165" i="13"/>
  <c r="G1166" i="13"/>
  <c r="H1166" i="13"/>
  <c r="G1167" i="13"/>
  <c r="H1167" i="13"/>
  <c r="G1168" i="13"/>
  <c r="H1168" i="13"/>
  <c r="G1169" i="13"/>
  <c r="H1169" i="13"/>
  <c r="G1170" i="13"/>
  <c r="H1170" i="13"/>
  <c r="G1171" i="13"/>
  <c r="H1171" i="13"/>
  <c r="G1172" i="13"/>
  <c r="H1172" i="13"/>
  <c r="G1173" i="13"/>
  <c r="H1173" i="13"/>
  <c r="G1174" i="13"/>
  <c r="H1174" i="13"/>
  <c r="G1175" i="13"/>
  <c r="H1175" i="13"/>
  <c r="G1176" i="13"/>
  <c r="H1176" i="13"/>
  <c r="G1177" i="13"/>
  <c r="H1177" i="13"/>
  <c r="G1178" i="13"/>
  <c r="H1178" i="13"/>
  <c r="G1179" i="13"/>
  <c r="H1179" i="13"/>
  <c r="G1180" i="13"/>
  <c r="H1180" i="13"/>
  <c r="G1181" i="13"/>
  <c r="H1181" i="13"/>
  <c r="G1182" i="13"/>
  <c r="H1182" i="13"/>
  <c r="G1183" i="13"/>
  <c r="H1183" i="13"/>
  <c r="G1184" i="13"/>
  <c r="H1184" i="13"/>
  <c r="G1185" i="13"/>
  <c r="H1185" i="13"/>
  <c r="G1186" i="13"/>
  <c r="H1186" i="13"/>
  <c r="G1187" i="13"/>
  <c r="H1187" i="13"/>
  <c r="G1188" i="13"/>
  <c r="H1188" i="13"/>
  <c r="G1189" i="13"/>
  <c r="H1189" i="13"/>
  <c r="G1190" i="13"/>
  <c r="H1190" i="13"/>
  <c r="G1191" i="13"/>
  <c r="H1191" i="13"/>
  <c r="G1192" i="13"/>
  <c r="H1192" i="13"/>
  <c r="G1193" i="13"/>
  <c r="H1193" i="13"/>
  <c r="G1194" i="13"/>
  <c r="H1194" i="13"/>
  <c r="G1195" i="13"/>
  <c r="H1195" i="13"/>
  <c r="G1196" i="13"/>
  <c r="H1196" i="13"/>
  <c r="G1197" i="13"/>
  <c r="H1197" i="13"/>
  <c r="G1198" i="13"/>
  <c r="H1198" i="13"/>
  <c r="G1199" i="13"/>
  <c r="H1199" i="13"/>
  <c r="G1200" i="13"/>
  <c r="H1200" i="13"/>
  <c r="G1201" i="13"/>
  <c r="H1201" i="13"/>
  <c r="G1202" i="13"/>
  <c r="H1202" i="13"/>
  <c r="G1203" i="13"/>
  <c r="H1203" i="13"/>
  <c r="G1204" i="13"/>
  <c r="H1204" i="13"/>
  <c r="G1205" i="13"/>
  <c r="H1205" i="13"/>
  <c r="G1206" i="13"/>
  <c r="H1206" i="13"/>
  <c r="G1207" i="13"/>
  <c r="H1207" i="13"/>
  <c r="G1208" i="13"/>
  <c r="H1208" i="13"/>
  <c r="G1209" i="13"/>
  <c r="H1209" i="13"/>
  <c r="G1210" i="13"/>
  <c r="H1210" i="13"/>
  <c r="G1211" i="13"/>
  <c r="H1211" i="13"/>
  <c r="G1212" i="13"/>
  <c r="H1212" i="13"/>
  <c r="G1213" i="13"/>
  <c r="H1213" i="13"/>
  <c r="G1214" i="13"/>
  <c r="H1214" i="13"/>
  <c r="G1215" i="13"/>
  <c r="H1215" i="13"/>
  <c r="G1216" i="13"/>
  <c r="H1216" i="13"/>
  <c r="G1217" i="13"/>
  <c r="H1217" i="13"/>
  <c r="G1218" i="13"/>
  <c r="H1218" i="13"/>
  <c r="G1219" i="13"/>
  <c r="H1219" i="13"/>
  <c r="G1220" i="13"/>
  <c r="H1220" i="13"/>
  <c r="G1221" i="13"/>
  <c r="H1221" i="13"/>
  <c r="G1222" i="13"/>
  <c r="H1222" i="13"/>
  <c r="G1223" i="13"/>
  <c r="H1223" i="13"/>
  <c r="G1224" i="13"/>
  <c r="H1224" i="13"/>
  <c r="G1225" i="13"/>
  <c r="H1225" i="13"/>
  <c r="G1226" i="13"/>
  <c r="H1226" i="13"/>
  <c r="G1227" i="13"/>
  <c r="H1227" i="13"/>
  <c r="G1228" i="13"/>
  <c r="H1228" i="13"/>
  <c r="G1229" i="13"/>
  <c r="H1229" i="13"/>
  <c r="G1230" i="13"/>
  <c r="H1230" i="13"/>
  <c r="G1231" i="13"/>
  <c r="H1231" i="13"/>
  <c r="G1232" i="13"/>
  <c r="H1232" i="13"/>
  <c r="G1233" i="13"/>
  <c r="H1233" i="13"/>
  <c r="G1234" i="13"/>
  <c r="H1234" i="13"/>
  <c r="G1235" i="13"/>
  <c r="H1235" i="13"/>
  <c r="G1236" i="13"/>
  <c r="H1236" i="13"/>
  <c r="G1237" i="13"/>
  <c r="H1237" i="13"/>
  <c r="G1238" i="13"/>
  <c r="H1238" i="13"/>
  <c r="G1239" i="13"/>
  <c r="H1239" i="13"/>
  <c r="G1240" i="13"/>
  <c r="H1240" i="13"/>
  <c r="G1241" i="13"/>
  <c r="H1241" i="13"/>
  <c r="G1242" i="13"/>
  <c r="H1242" i="13"/>
  <c r="G1243" i="13"/>
  <c r="H1243" i="13"/>
  <c r="G1244" i="13"/>
  <c r="H1244" i="13"/>
  <c r="G1245" i="13"/>
  <c r="H1245" i="13"/>
  <c r="G1246" i="13"/>
  <c r="H1246" i="13"/>
  <c r="G1247" i="13"/>
  <c r="H1247" i="13"/>
  <c r="G1248" i="13"/>
  <c r="H1248" i="13"/>
  <c r="G1249" i="13"/>
  <c r="H1249" i="13"/>
  <c r="G1250" i="13"/>
  <c r="H1250" i="13"/>
  <c r="G1251" i="13"/>
  <c r="H1251" i="13"/>
  <c r="G1252" i="13"/>
  <c r="H1252" i="13"/>
  <c r="G1253" i="13"/>
  <c r="H1253" i="13"/>
  <c r="G1254" i="13"/>
  <c r="H1254" i="13"/>
  <c r="G1255" i="13"/>
  <c r="H1255" i="13"/>
  <c r="G1256" i="13"/>
  <c r="H1256" i="13"/>
  <c r="G1257" i="13"/>
  <c r="H1257" i="13"/>
  <c r="G1258" i="13"/>
  <c r="H1258" i="13"/>
  <c r="G1259" i="13"/>
  <c r="H1259" i="13"/>
  <c r="G1260" i="13"/>
  <c r="H1260" i="13"/>
  <c r="G1261" i="13"/>
  <c r="H1261" i="13"/>
  <c r="G1262" i="13"/>
  <c r="H1262" i="13"/>
  <c r="G1263" i="13"/>
  <c r="H1263" i="13"/>
  <c r="G1264" i="13"/>
  <c r="H1264" i="13"/>
  <c r="G1265" i="13"/>
  <c r="H1265" i="13"/>
  <c r="G1266" i="13"/>
  <c r="H1266" i="13"/>
  <c r="G1267" i="13"/>
  <c r="H1267" i="13"/>
  <c r="G1268" i="13"/>
  <c r="H1268" i="13"/>
  <c r="G1269" i="13"/>
  <c r="H1269" i="13"/>
  <c r="G1270" i="13"/>
  <c r="H1270" i="13"/>
  <c r="G1271" i="13"/>
  <c r="H1271" i="13"/>
  <c r="G1272" i="13"/>
  <c r="H1272" i="13"/>
  <c r="G1273" i="13"/>
  <c r="H1273" i="13"/>
  <c r="G1274" i="13"/>
  <c r="H1274" i="13"/>
  <c r="G1275" i="13"/>
  <c r="H1275" i="13"/>
  <c r="G1276" i="13"/>
  <c r="H1276" i="13"/>
  <c r="G1277" i="13"/>
  <c r="H1277" i="13"/>
  <c r="G1278" i="13"/>
  <c r="H1278" i="13"/>
  <c r="G1279" i="13"/>
  <c r="H1279" i="13"/>
  <c r="G1280" i="13"/>
  <c r="H1280" i="13"/>
  <c r="G1281" i="13"/>
  <c r="H1281" i="13"/>
  <c r="G1282" i="13"/>
  <c r="H1282" i="13"/>
  <c r="G1283" i="13"/>
  <c r="H1283" i="13"/>
  <c r="G1284" i="13"/>
  <c r="H1284" i="13"/>
  <c r="G1285" i="13"/>
  <c r="H1285" i="13"/>
  <c r="G1286" i="13"/>
  <c r="H1286" i="13"/>
  <c r="G1287" i="13"/>
  <c r="H1287" i="13"/>
  <c r="G1288" i="13"/>
  <c r="H1288" i="13"/>
  <c r="G1289" i="13"/>
  <c r="H1289" i="13"/>
  <c r="G1290" i="13"/>
  <c r="H1290" i="13"/>
  <c r="G1291" i="13"/>
  <c r="H1291" i="13"/>
  <c r="G1292" i="13"/>
  <c r="H1292" i="13"/>
  <c r="G1293" i="13"/>
  <c r="H1293" i="13"/>
  <c r="G1294" i="13"/>
  <c r="H1294" i="13"/>
  <c r="G1295" i="13"/>
  <c r="H1295" i="13"/>
  <c r="G1296" i="13"/>
  <c r="H1296" i="13"/>
  <c r="G1297" i="13"/>
  <c r="H1297" i="13"/>
  <c r="G1298" i="13"/>
  <c r="H1298" i="13"/>
  <c r="G1299" i="13"/>
  <c r="H1299" i="13"/>
  <c r="G1300" i="13"/>
  <c r="H1300" i="13"/>
  <c r="G1301" i="13"/>
  <c r="H1301" i="13"/>
  <c r="G1302" i="13"/>
  <c r="H1302" i="13"/>
  <c r="G1303" i="13"/>
  <c r="H1303" i="13"/>
  <c r="G1304" i="13"/>
  <c r="H1304" i="13"/>
  <c r="G1305" i="13"/>
  <c r="H1305" i="13"/>
  <c r="G1306" i="13"/>
  <c r="H1306" i="13"/>
  <c r="G1307" i="13"/>
  <c r="H1307" i="13"/>
  <c r="G1308" i="13"/>
  <c r="H1308" i="13"/>
  <c r="G1309" i="13"/>
  <c r="H1309" i="13"/>
  <c r="G1310" i="13"/>
  <c r="H1310" i="13"/>
  <c r="G1311" i="13"/>
  <c r="H1311" i="13"/>
  <c r="G1312" i="13"/>
  <c r="H1312" i="13"/>
  <c r="G1313" i="13"/>
  <c r="H1313" i="13"/>
  <c r="G1314" i="13"/>
  <c r="H1314" i="13"/>
  <c r="G1315" i="13"/>
  <c r="H1315" i="13"/>
  <c r="G1316" i="13"/>
  <c r="H1316" i="13"/>
  <c r="G1317" i="13"/>
  <c r="H1317" i="13"/>
  <c r="G1318" i="13"/>
  <c r="H1318" i="13"/>
  <c r="G1319" i="13"/>
  <c r="H1319" i="13"/>
  <c r="G1320" i="13"/>
  <c r="H1320" i="13"/>
  <c r="G1321" i="13"/>
  <c r="H1321" i="13"/>
  <c r="G1322" i="13"/>
  <c r="H1322" i="13"/>
  <c r="G1323" i="13"/>
  <c r="H1323" i="13"/>
  <c r="G1324" i="13"/>
  <c r="H1324" i="13"/>
  <c r="G1325" i="13"/>
  <c r="H1325" i="13"/>
  <c r="G1326" i="13"/>
  <c r="H1326" i="13"/>
  <c r="G1327" i="13"/>
  <c r="H1327" i="13"/>
  <c r="G1328" i="13"/>
  <c r="H1328" i="13"/>
  <c r="G1329" i="13"/>
  <c r="H1329" i="13"/>
  <c r="G1330" i="13"/>
  <c r="H1330" i="13"/>
  <c r="G1331" i="13"/>
  <c r="H1331" i="13"/>
  <c r="G1332" i="13"/>
  <c r="H1332" i="13"/>
  <c r="G1333" i="13"/>
  <c r="H1333" i="13"/>
  <c r="G1334" i="13"/>
  <c r="H1334" i="13"/>
  <c r="G1335" i="13"/>
  <c r="H1335" i="13"/>
  <c r="G1336" i="13"/>
  <c r="H1336" i="13"/>
  <c r="G1337" i="13"/>
  <c r="H1337" i="13"/>
  <c r="G1338" i="13"/>
  <c r="H1338" i="13"/>
  <c r="G1339" i="13"/>
  <c r="H1339" i="13"/>
  <c r="G1340" i="13"/>
  <c r="H1340" i="13"/>
  <c r="G1341" i="13"/>
  <c r="H1341" i="13"/>
  <c r="G1342" i="13"/>
  <c r="H1342" i="13"/>
  <c r="G1343" i="13"/>
  <c r="H1343" i="13"/>
  <c r="G1344" i="13"/>
  <c r="H1344" i="13"/>
  <c r="G1345" i="13"/>
  <c r="H1345" i="13"/>
  <c r="G1346" i="13"/>
  <c r="H1346" i="13"/>
  <c r="G1347" i="13"/>
  <c r="H1347" i="13"/>
  <c r="G1348" i="13"/>
  <c r="H1348" i="13"/>
  <c r="G1349" i="13"/>
  <c r="H1349" i="13"/>
  <c r="G1350" i="13"/>
  <c r="H1350" i="13"/>
  <c r="G1351" i="13"/>
  <c r="H1351" i="13"/>
  <c r="G1352" i="13"/>
  <c r="H1352" i="13"/>
  <c r="G1353" i="13"/>
  <c r="H1353" i="13"/>
  <c r="G1354" i="13"/>
  <c r="H1354" i="13"/>
  <c r="G1355" i="13"/>
  <c r="H1355" i="13"/>
  <c r="G1356" i="13"/>
  <c r="H1356" i="13"/>
  <c r="G1357" i="13"/>
  <c r="H1357" i="13"/>
  <c r="G1358" i="13"/>
  <c r="H1358" i="13"/>
  <c r="G1359" i="13"/>
  <c r="H1359" i="13"/>
  <c r="G1360" i="13"/>
  <c r="H1360" i="13"/>
  <c r="G1361" i="13"/>
  <c r="H1361" i="13"/>
  <c r="G1362" i="13"/>
  <c r="H1362" i="13"/>
  <c r="G1363" i="13"/>
  <c r="H1363" i="13"/>
  <c r="G1364" i="13"/>
  <c r="H1364" i="13"/>
  <c r="G1365" i="13"/>
  <c r="H1365" i="13"/>
  <c r="G1366" i="13"/>
  <c r="H1366" i="13"/>
  <c r="G1367" i="13"/>
  <c r="H1367" i="13"/>
  <c r="G1368" i="13"/>
  <c r="H1368" i="13"/>
  <c r="G1369" i="13"/>
  <c r="H1369" i="13"/>
  <c r="G1370" i="13"/>
  <c r="H1370" i="13"/>
  <c r="G1371" i="13"/>
  <c r="H1371" i="13"/>
  <c r="G1372" i="13"/>
  <c r="H1372" i="13"/>
  <c r="G1373" i="13"/>
  <c r="H1373" i="13"/>
  <c r="G1374" i="13"/>
  <c r="H1374" i="13"/>
  <c r="G1375" i="13"/>
  <c r="H1375" i="13"/>
  <c r="G1376" i="13"/>
  <c r="H1376" i="13"/>
  <c r="G1377" i="13"/>
  <c r="H1377" i="13"/>
  <c r="G1378" i="13"/>
  <c r="H1378" i="13"/>
  <c r="G1379" i="13"/>
  <c r="H1379" i="13"/>
  <c r="G1380" i="13"/>
  <c r="H1380" i="13"/>
  <c r="G1381" i="13"/>
  <c r="H1381" i="13"/>
  <c r="G1382" i="13"/>
  <c r="H1382" i="13"/>
  <c r="G1383" i="13"/>
  <c r="H1383" i="13"/>
  <c r="G1384" i="13"/>
  <c r="H1384" i="13"/>
  <c r="G1385" i="13"/>
  <c r="H1385" i="13"/>
  <c r="G1386" i="13"/>
  <c r="H1386" i="13"/>
  <c r="G1387" i="13"/>
  <c r="H1387" i="13"/>
  <c r="G1388" i="13"/>
  <c r="H1388" i="13"/>
  <c r="G1389" i="13"/>
  <c r="H1389" i="13"/>
  <c r="G1390" i="13"/>
  <c r="H1390" i="13"/>
  <c r="G1391" i="13"/>
  <c r="H1391" i="13"/>
  <c r="G1392" i="13"/>
  <c r="H1392" i="13"/>
  <c r="G1393" i="13"/>
  <c r="H1393" i="13"/>
  <c r="G1394" i="13"/>
  <c r="H1394" i="13"/>
  <c r="G1395" i="13"/>
  <c r="H1395" i="13"/>
  <c r="G1396" i="13"/>
  <c r="H1396" i="13"/>
  <c r="G1397" i="13"/>
  <c r="H1397" i="13"/>
  <c r="G1398" i="13"/>
  <c r="H1398" i="13"/>
  <c r="G1399" i="13"/>
  <c r="H1399" i="13"/>
  <c r="G1400" i="13"/>
  <c r="H1400" i="13"/>
  <c r="G1401" i="13"/>
  <c r="H1401" i="13"/>
  <c r="G1402" i="13"/>
  <c r="H1402" i="13"/>
  <c r="G1403" i="13"/>
  <c r="H1403" i="13"/>
  <c r="G1404" i="13"/>
  <c r="H1404" i="13"/>
  <c r="G1405" i="13"/>
  <c r="H1405" i="13"/>
  <c r="G1406" i="13"/>
  <c r="H1406" i="13"/>
  <c r="G1407" i="13"/>
  <c r="H1407" i="13"/>
  <c r="G1408" i="13"/>
  <c r="H1408" i="13"/>
  <c r="G1409" i="13"/>
  <c r="H1409" i="13"/>
  <c r="G1410" i="13"/>
  <c r="H1410" i="13"/>
  <c r="G1411" i="13"/>
  <c r="H1411" i="13"/>
  <c r="G1412" i="13"/>
  <c r="H1412" i="13"/>
  <c r="G1413" i="13"/>
  <c r="H1413" i="13"/>
  <c r="G1414" i="13"/>
  <c r="H1414" i="13"/>
  <c r="G1415" i="13"/>
  <c r="H1415" i="13"/>
  <c r="G1416" i="13"/>
  <c r="H1416" i="13"/>
  <c r="G1417" i="13"/>
  <c r="H1417" i="13"/>
  <c r="G1418" i="13"/>
  <c r="H1418" i="13"/>
  <c r="G1419" i="13"/>
  <c r="H1419" i="13"/>
  <c r="G1420" i="13"/>
  <c r="H1420" i="13"/>
  <c r="G1421" i="13"/>
  <c r="H1421" i="13"/>
  <c r="G1422" i="13"/>
  <c r="H1422" i="13"/>
  <c r="G1423" i="13"/>
  <c r="H1423" i="13"/>
  <c r="G1424" i="13"/>
  <c r="H1424" i="13"/>
  <c r="G1425" i="13"/>
  <c r="H1425" i="13"/>
  <c r="G1426" i="13"/>
  <c r="H1426" i="13"/>
  <c r="G1427" i="13"/>
  <c r="H1427" i="13"/>
  <c r="G1428" i="13"/>
  <c r="H1428" i="13"/>
  <c r="G1429" i="13"/>
  <c r="H1429" i="13"/>
  <c r="G1430" i="13"/>
  <c r="H1430" i="13"/>
  <c r="G1431" i="13"/>
  <c r="H1431" i="13"/>
  <c r="G1432" i="13"/>
  <c r="H1432" i="13"/>
  <c r="G1433" i="13"/>
  <c r="H1433" i="13"/>
  <c r="G1434" i="13"/>
  <c r="H1434" i="13"/>
  <c r="G1435" i="13"/>
  <c r="H1435" i="13"/>
  <c r="G1436" i="13"/>
  <c r="H1436" i="13"/>
  <c r="G1437" i="13"/>
  <c r="H1437" i="13"/>
  <c r="G1438" i="13"/>
  <c r="H1438" i="13"/>
  <c r="G1439" i="13"/>
  <c r="H1439" i="13"/>
  <c r="G1440" i="13"/>
  <c r="H1440" i="13"/>
  <c r="G1441" i="13"/>
  <c r="H1441" i="13"/>
  <c r="G1442" i="13"/>
  <c r="H1442" i="13"/>
  <c r="G1443" i="13"/>
  <c r="H1443" i="13"/>
  <c r="G1444" i="13"/>
  <c r="H1444" i="13"/>
  <c r="G1445" i="13"/>
  <c r="H1445" i="13"/>
  <c r="G1446" i="13"/>
  <c r="H1446" i="13"/>
  <c r="G1447" i="13"/>
  <c r="H1447" i="13"/>
  <c r="G1448" i="13"/>
  <c r="H1448" i="13"/>
  <c r="G1449" i="13"/>
  <c r="H1449" i="13"/>
  <c r="G1450" i="13"/>
  <c r="H1450" i="13"/>
  <c r="G1451" i="13"/>
  <c r="H1451" i="13"/>
  <c r="G1452" i="13"/>
  <c r="H1452" i="13"/>
  <c r="G1453" i="13"/>
  <c r="H1453" i="13"/>
  <c r="G1454" i="13"/>
  <c r="H1454" i="13"/>
  <c r="G1455" i="13"/>
  <c r="H1455" i="13"/>
  <c r="G1456" i="13"/>
  <c r="H1456" i="13"/>
  <c r="G1457" i="13"/>
  <c r="H1457" i="13"/>
  <c r="G1458" i="13"/>
  <c r="H1458" i="13"/>
  <c r="G1459" i="13"/>
  <c r="H1459" i="13"/>
  <c r="G1460" i="13"/>
  <c r="H1460" i="13"/>
  <c r="G1461" i="13"/>
  <c r="H1461" i="13"/>
  <c r="G1462" i="13"/>
  <c r="H1462" i="13"/>
  <c r="G1463" i="13"/>
  <c r="H1463" i="13"/>
  <c r="G1464" i="13"/>
  <c r="H1464" i="13"/>
  <c r="G1465" i="13"/>
  <c r="H1465" i="13"/>
  <c r="G1466" i="13"/>
  <c r="H1466" i="13"/>
  <c r="G1467" i="13"/>
  <c r="H1467" i="13"/>
  <c r="G1468" i="13"/>
  <c r="H1468" i="13"/>
  <c r="G1469" i="13"/>
  <c r="H1469" i="13"/>
  <c r="G1470" i="13"/>
  <c r="H1470" i="13"/>
  <c r="G1471" i="13"/>
  <c r="H1471" i="13"/>
  <c r="G1472" i="13"/>
  <c r="H1472" i="13"/>
  <c r="G1473" i="13"/>
  <c r="H1473" i="13"/>
  <c r="G1474" i="13"/>
  <c r="H1474" i="13"/>
  <c r="G1475" i="13"/>
  <c r="H1475" i="13"/>
  <c r="G1476" i="13"/>
  <c r="H1476" i="13"/>
  <c r="G1477" i="13"/>
  <c r="H1477" i="13"/>
  <c r="G1478" i="13"/>
  <c r="H1478" i="13"/>
  <c r="G1479" i="13"/>
  <c r="H1479" i="13"/>
  <c r="G1480" i="13"/>
  <c r="H1480" i="13"/>
  <c r="G1481" i="13"/>
  <c r="H1481" i="13"/>
  <c r="G1482" i="13"/>
  <c r="H1482" i="13"/>
  <c r="G1483" i="13"/>
  <c r="H1483" i="13"/>
  <c r="G1484" i="13"/>
  <c r="H1484" i="13"/>
  <c r="G1485" i="13"/>
  <c r="H1485" i="13"/>
  <c r="G1486" i="13"/>
  <c r="H1486" i="13"/>
  <c r="G1487" i="13"/>
  <c r="H1487" i="13"/>
  <c r="G1488" i="13"/>
  <c r="H1488" i="13"/>
  <c r="G1489" i="13"/>
  <c r="H1489" i="13"/>
  <c r="G1490" i="13"/>
  <c r="H1490" i="13"/>
  <c r="G1491" i="13"/>
  <c r="H1491" i="13"/>
  <c r="G1492" i="13"/>
  <c r="H1492" i="13"/>
  <c r="G1493" i="13"/>
  <c r="H1493" i="13"/>
  <c r="G1494" i="13"/>
  <c r="H1494" i="13"/>
  <c r="G1495" i="13"/>
  <c r="H1495" i="13"/>
  <c r="G1496" i="13"/>
  <c r="H1496" i="13"/>
  <c r="G1497" i="13"/>
  <c r="H1497" i="13"/>
  <c r="G1498" i="13"/>
  <c r="H1498" i="13"/>
  <c r="G1499" i="13"/>
  <c r="H1499" i="13"/>
  <c r="G1500" i="13"/>
  <c r="H1500" i="13"/>
  <c r="G1501" i="13"/>
  <c r="H1501" i="13"/>
  <c r="G1502" i="13"/>
  <c r="H1502" i="13"/>
  <c r="G1503" i="13"/>
  <c r="H1503" i="13"/>
  <c r="G1504" i="13"/>
  <c r="H1504" i="13"/>
  <c r="G1505" i="13"/>
  <c r="H1505" i="13"/>
  <c r="G1506" i="13"/>
  <c r="H1506" i="13"/>
  <c r="G1507" i="13"/>
  <c r="H1507" i="13"/>
  <c r="G1508" i="13"/>
  <c r="H1508" i="13"/>
  <c r="G1509" i="13"/>
  <c r="H1509" i="13"/>
  <c r="G1510" i="13"/>
  <c r="H1510" i="13"/>
  <c r="G1511" i="13"/>
  <c r="H1511" i="13"/>
  <c r="G1512" i="13"/>
  <c r="H1512" i="13"/>
  <c r="G1513" i="13"/>
  <c r="H1513" i="13"/>
  <c r="G1514" i="13"/>
  <c r="H1514" i="13"/>
  <c r="G1515" i="13"/>
  <c r="H1515" i="13"/>
  <c r="G1516" i="13"/>
  <c r="H1516" i="13"/>
  <c r="G1517" i="13"/>
  <c r="H1517" i="13"/>
  <c r="G1518" i="13"/>
  <c r="H1518" i="13"/>
  <c r="G1519" i="13"/>
  <c r="H1519" i="13"/>
  <c r="G1520" i="13"/>
  <c r="H1520" i="13"/>
  <c r="G1521" i="13"/>
  <c r="H1521" i="13"/>
  <c r="G1522" i="13"/>
  <c r="H1522" i="13"/>
  <c r="G1523" i="13"/>
  <c r="H1523" i="13"/>
  <c r="G1524" i="13"/>
  <c r="H1524" i="13"/>
  <c r="G1525" i="13"/>
  <c r="H1525" i="13"/>
  <c r="G1526" i="13"/>
  <c r="H1526" i="13"/>
  <c r="K9" i="69" l="1"/>
  <c r="N98" i="49"/>
  <c r="L95" i="49"/>
  <c r="M95" i="49"/>
  <c r="K9" i="51"/>
  <c r="N93" i="49"/>
  <c r="K9" i="56"/>
  <c r="N99" i="49"/>
  <c r="N96" i="49"/>
  <c r="K9" i="55"/>
  <c r="K9" i="52"/>
  <c r="N94" i="49"/>
  <c r="K9" i="50"/>
  <c r="N92" i="49"/>
  <c r="K7" i="59"/>
  <c r="N91" i="49"/>
  <c r="K7" i="57"/>
  <c r="K10" i="56"/>
  <c r="N89" i="49"/>
  <c r="K8" i="69"/>
  <c r="K10" i="55"/>
  <c r="N87" i="49"/>
  <c r="K10" i="52"/>
  <c r="N84" i="49"/>
  <c r="K7" i="55"/>
  <c r="N75" i="49"/>
  <c r="L73" i="49"/>
  <c r="M73" i="49"/>
  <c r="N67" i="49"/>
  <c r="K8" i="50"/>
  <c r="K7" i="58"/>
  <c r="N90" i="49"/>
  <c r="K3" i="60"/>
  <c r="K8" i="56"/>
  <c r="K10" i="69"/>
  <c r="N88" i="49"/>
  <c r="K10" i="53"/>
  <c r="K10" i="54"/>
  <c r="N85" i="49"/>
  <c r="K8" i="51"/>
  <c r="K10" i="51"/>
  <c r="N83" i="49"/>
  <c r="L74" i="49"/>
  <c r="M74" i="49"/>
  <c r="N68" i="49"/>
  <c r="K8" i="52"/>
  <c r="N66" i="49"/>
  <c r="K7" i="56"/>
  <c r="K6" i="56"/>
  <c r="K9" i="54"/>
  <c r="K9" i="53"/>
  <c r="K8" i="54"/>
  <c r="K8" i="53"/>
  <c r="K7" i="54"/>
  <c r="K7" i="53"/>
  <c r="K5" i="57"/>
  <c r="H35" i="13"/>
  <c r="G35" i="13"/>
  <c r="H12" i="13"/>
  <c r="M92" i="49" l="1"/>
  <c r="L92" i="49"/>
  <c r="M94" i="49"/>
  <c r="L94" i="49"/>
  <c r="L99" i="49"/>
  <c r="M99" i="49"/>
  <c r="L93" i="49"/>
  <c r="M93" i="49"/>
  <c r="M98" i="49"/>
  <c r="L98" i="49"/>
  <c r="M96" i="49"/>
  <c r="L96" i="49"/>
  <c r="G6" i="60"/>
  <c r="G4" i="60"/>
  <c r="H6" i="60"/>
  <c r="H4" i="60"/>
  <c r="L83" i="49"/>
  <c r="M83" i="49"/>
  <c r="M88" i="49"/>
  <c r="L88" i="49"/>
  <c r="M90" i="49"/>
  <c r="L90" i="49"/>
  <c r="L75" i="49"/>
  <c r="M75" i="49"/>
  <c r="M84" i="49"/>
  <c r="L84" i="49"/>
  <c r="L87" i="49"/>
  <c r="M87" i="49"/>
  <c r="L91" i="49"/>
  <c r="M91" i="49"/>
  <c r="M66" i="49"/>
  <c r="L66" i="49"/>
  <c r="M68" i="49"/>
  <c r="L68" i="49"/>
  <c r="L85" i="49"/>
  <c r="M85" i="49"/>
  <c r="L67" i="49"/>
  <c r="M67" i="49"/>
  <c r="L89" i="49"/>
  <c r="M89" i="49"/>
  <c r="G36" i="13"/>
  <c r="G5" i="60" s="1"/>
  <c r="H36" i="13"/>
  <c r="H5" i="60" s="1"/>
  <c r="G12" i="13"/>
  <c r="H11" i="13"/>
  <c r="H2" i="69" s="1"/>
  <c r="G11" i="13"/>
  <c r="G2" i="69" s="1"/>
  <c r="G42" i="13" l="1"/>
  <c r="H53" i="49" s="1"/>
  <c r="H42" i="13"/>
  <c r="J53" i="49" s="1"/>
  <c r="H20" i="49"/>
  <c r="J20" i="49"/>
  <c r="AC2" i="57"/>
  <c r="E82" i="66" s="1"/>
  <c r="AE2" i="57"/>
  <c r="E84" i="66" s="1"/>
  <c r="H43" i="13" l="1"/>
  <c r="G43" i="13"/>
  <c r="G44" i="13"/>
  <c r="H55" i="49" s="1"/>
  <c r="H44" i="13"/>
  <c r="J55" i="49" s="1"/>
  <c r="AD2" i="57"/>
  <c r="E83" i="66" s="1"/>
  <c r="H5" i="69" l="1"/>
  <c r="J54" i="49"/>
  <c r="G5" i="69"/>
  <c r="H54" i="49"/>
  <c r="A11" i="49"/>
  <c r="E8" i="49"/>
  <c r="E5" i="49"/>
  <c r="D4" i="51"/>
  <c r="E4" i="51"/>
  <c r="F4" i="51"/>
  <c r="L4" i="51"/>
  <c r="M4" i="51"/>
  <c r="Q4" i="51"/>
  <c r="R4" i="51"/>
  <c r="D4" i="52"/>
  <c r="E4" i="52"/>
  <c r="F4" i="52"/>
  <c r="L4" i="52"/>
  <c r="M4" i="52"/>
  <c r="Q4" i="52"/>
  <c r="R4" i="52"/>
  <c r="D4" i="53"/>
  <c r="E4" i="53"/>
  <c r="F4" i="53"/>
  <c r="L4" i="53"/>
  <c r="M4" i="53"/>
  <c r="Q4" i="53"/>
  <c r="R4" i="53"/>
  <c r="D4" i="54"/>
  <c r="E4" i="54"/>
  <c r="F4" i="54"/>
  <c r="L4" i="54"/>
  <c r="M4" i="54"/>
  <c r="Q4" i="54"/>
  <c r="R4" i="54"/>
  <c r="D4" i="55"/>
  <c r="E4" i="55"/>
  <c r="F4" i="55"/>
  <c r="L4" i="55"/>
  <c r="M4" i="55"/>
  <c r="Q4" i="55"/>
  <c r="R4" i="55"/>
  <c r="AC4" i="55"/>
  <c r="D4" i="56"/>
  <c r="E4" i="56"/>
  <c r="F4" i="56"/>
  <c r="L4" i="56"/>
  <c r="M4" i="56"/>
  <c r="Q4" i="56"/>
  <c r="R4" i="56"/>
  <c r="D4" i="50"/>
  <c r="P5" i="74" s="1"/>
  <c r="E4" i="50"/>
  <c r="F4" i="50"/>
  <c r="L4" i="50"/>
  <c r="M4" i="50"/>
  <c r="Q4" i="50"/>
  <c r="R4" i="50"/>
  <c r="K37" i="13"/>
  <c r="K38" i="13"/>
  <c r="G3" i="13"/>
  <c r="H14" i="49" s="1"/>
  <c r="H3" i="13"/>
  <c r="J14" i="49" s="1"/>
  <c r="K5" i="52" l="1"/>
  <c r="K5" i="50"/>
  <c r="N48" i="49"/>
  <c r="H49" i="13"/>
  <c r="J60" i="49" s="1"/>
  <c r="G49" i="13"/>
  <c r="H60" i="49" s="1"/>
  <c r="H51" i="13"/>
  <c r="G51" i="13"/>
  <c r="V4" i="55"/>
  <c r="W4" i="55"/>
  <c r="X4" i="55"/>
  <c r="J39" i="49"/>
  <c r="H39" i="49"/>
  <c r="K39" i="13"/>
  <c r="K40" i="13"/>
  <c r="K41" i="13"/>
  <c r="AL2" i="50"/>
  <c r="AK2" i="50"/>
  <c r="N51" i="49" l="1"/>
  <c r="L51" i="49" s="1"/>
  <c r="K5" i="55"/>
  <c r="N52" i="49"/>
  <c r="K5" i="51"/>
  <c r="N50" i="49"/>
  <c r="L48" i="49"/>
  <c r="M48" i="49"/>
  <c r="J62" i="49"/>
  <c r="H62" i="49"/>
  <c r="E82" i="64"/>
  <c r="Z2" i="53"/>
  <c r="G444" i="64" s="1"/>
  <c r="E83" i="64"/>
  <c r="AA2" i="53"/>
  <c r="G445" i="64" s="1"/>
  <c r="H52" i="13"/>
  <c r="J63" i="49" s="1"/>
  <c r="G52" i="13"/>
  <c r="H63" i="49" s="1"/>
  <c r="N28" i="49"/>
  <c r="M28" i="49" s="1"/>
  <c r="K5" i="54"/>
  <c r="K5" i="53"/>
  <c r="N27" i="49"/>
  <c r="L27" i="49" s="1"/>
  <c r="N26" i="49"/>
  <c r="M26" i="49" s="1"/>
  <c r="N25" i="49"/>
  <c r="AJ2" i="50"/>
  <c r="AM2" i="50"/>
  <c r="AB2" i="53" s="1"/>
  <c r="G446" i="64" s="1"/>
  <c r="P4" i="51"/>
  <c r="I5" i="55"/>
  <c r="J5" i="55"/>
  <c r="D3" i="51"/>
  <c r="E3" i="51"/>
  <c r="F3" i="51"/>
  <c r="L3" i="51"/>
  <c r="M3" i="51"/>
  <c r="Q3" i="51"/>
  <c r="R3" i="51"/>
  <c r="D3" i="52"/>
  <c r="E3" i="52"/>
  <c r="F3" i="52"/>
  <c r="L3" i="52"/>
  <c r="M3" i="52"/>
  <c r="P3" i="52"/>
  <c r="Q3" i="52"/>
  <c r="R3" i="52"/>
  <c r="D3" i="53"/>
  <c r="E3" i="53"/>
  <c r="F3" i="53"/>
  <c r="L3" i="53"/>
  <c r="M3" i="53"/>
  <c r="Q3" i="53"/>
  <c r="R3" i="53"/>
  <c r="D3" i="54"/>
  <c r="E3" i="54"/>
  <c r="F3" i="54"/>
  <c r="L3" i="54"/>
  <c r="M3" i="54"/>
  <c r="Q3" i="54"/>
  <c r="R3" i="54"/>
  <c r="D3" i="55"/>
  <c r="E3" i="55"/>
  <c r="F3" i="55"/>
  <c r="L3" i="55"/>
  <c r="M3" i="55"/>
  <c r="Q3" i="55"/>
  <c r="R3" i="55"/>
  <c r="AC3" i="55"/>
  <c r="D3" i="56"/>
  <c r="E3" i="56"/>
  <c r="F3" i="56"/>
  <c r="L3" i="56"/>
  <c r="M3" i="56"/>
  <c r="Q3" i="56"/>
  <c r="R3" i="56"/>
  <c r="D3" i="50"/>
  <c r="P4" i="74" s="1"/>
  <c r="E3" i="50"/>
  <c r="F3" i="50"/>
  <c r="K3" i="50"/>
  <c r="L3" i="50"/>
  <c r="M3" i="50"/>
  <c r="P3" i="50"/>
  <c r="Q3" i="50"/>
  <c r="R3" i="50"/>
  <c r="M51" i="49" l="1"/>
  <c r="L50" i="49"/>
  <c r="M50" i="49"/>
  <c r="M52" i="49"/>
  <c r="L52" i="49"/>
  <c r="E81" i="64"/>
  <c r="Y2" i="53"/>
  <c r="G443" i="64" s="1"/>
  <c r="L28" i="49"/>
  <c r="H53" i="13"/>
  <c r="G53" i="13"/>
  <c r="X3" i="55"/>
  <c r="V3" i="55"/>
  <c r="W3" i="55"/>
  <c r="L26" i="49"/>
  <c r="M27" i="49"/>
  <c r="H40" i="49"/>
  <c r="L25" i="49"/>
  <c r="M25" i="49"/>
  <c r="J40" i="49"/>
  <c r="P4" i="52"/>
  <c r="O3" i="67"/>
  <c r="P3" i="53"/>
  <c r="N3" i="67"/>
  <c r="K45" i="13"/>
  <c r="X22" i="49"/>
  <c r="V22" i="49" s="1"/>
  <c r="X23" i="49"/>
  <c r="V23" i="49" s="1"/>
  <c r="X24" i="49"/>
  <c r="V24" i="49" s="1"/>
  <c r="X25" i="49"/>
  <c r="V25" i="49" s="1"/>
  <c r="X26" i="49"/>
  <c r="V26" i="49" s="1"/>
  <c r="X27" i="49"/>
  <c r="V27" i="49" s="1"/>
  <c r="X28" i="49"/>
  <c r="V28" i="49" s="1"/>
  <c r="N7" i="55"/>
  <c r="O7" i="55"/>
  <c r="N8" i="51"/>
  <c r="O8" i="51"/>
  <c r="N8" i="69"/>
  <c r="O8" i="69"/>
  <c r="N8" i="56"/>
  <c r="O8" i="56"/>
  <c r="N7" i="57"/>
  <c r="O7" i="57"/>
  <c r="N7" i="58"/>
  <c r="O7" i="58"/>
  <c r="N7" i="59"/>
  <c r="O7" i="59"/>
  <c r="N81" i="13"/>
  <c r="N9" i="50" s="1"/>
  <c r="O81" i="13"/>
  <c r="O9" i="50" s="1"/>
  <c r="N82" i="13"/>
  <c r="N9" i="51" s="1"/>
  <c r="O82" i="13"/>
  <c r="O9" i="51" s="1"/>
  <c r="N83" i="13"/>
  <c r="N9" i="52" s="1"/>
  <c r="O83" i="13"/>
  <c r="O9" i="52" s="1"/>
  <c r="N84" i="13"/>
  <c r="O84" i="13"/>
  <c r="N85" i="13"/>
  <c r="N9" i="55" s="1"/>
  <c r="O85" i="13"/>
  <c r="O9" i="55" s="1"/>
  <c r="N87" i="13"/>
  <c r="N9" i="69" s="1"/>
  <c r="O87" i="13"/>
  <c r="O9" i="69" s="1"/>
  <c r="N88" i="13"/>
  <c r="N9" i="56" s="1"/>
  <c r="O88" i="13"/>
  <c r="O9" i="56" s="1"/>
  <c r="N89" i="13"/>
  <c r="N4" i="67" s="1"/>
  <c r="O89" i="13"/>
  <c r="O4" i="67" s="1"/>
  <c r="N90" i="13"/>
  <c r="O90" i="13"/>
  <c r="N91" i="13"/>
  <c r="O91" i="13"/>
  <c r="N92" i="13"/>
  <c r="O92" i="13"/>
  <c r="N93" i="13"/>
  <c r="O93" i="13"/>
  <c r="N94" i="13"/>
  <c r="O94" i="13"/>
  <c r="N95" i="13"/>
  <c r="O95" i="13"/>
  <c r="N96" i="13"/>
  <c r="O96" i="13"/>
  <c r="N98" i="13"/>
  <c r="O98" i="13"/>
  <c r="N99" i="13"/>
  <c r="O99" i="13"/>
  <c r="N100" i="13"/>
  <c r="O100" i="13"/>
  <c r="N101" i="13"/>
  <c r="O101" i="13"/>
  <c r="N102" i="13"/>
  <c r="O102" i="13"/>
  <c r="N103" i="13"/>
  <c r="O103" i="13"/>
  <c r="N104" i="13"/>
  <c r="O104" i="13"/>
  <c r="N105" i="13"/>
  <c r="O105" i="13"/>
  <c r="N106" i="13"/>
  <c r="O106" i="13"/>
  <c r="N107" i="13"/>
  <c r="O107" i="13"/>
  <c r="N108" i="13"/>
  <c r="O108" i="13"/>
  <c r="N109" i="13"/>
  <c r="O109" i="13"/>
  <c r="N110" i="13"/>
  <c r="O110" i="13"/>
  <c r="N111" i="13"/>
  <c r="O111" i="13"/>
  <c r="N112" i="13"/>
  <c r="O112" i="13"/>
  <c r="N113" i="13"/>
  <c r="O113" i="13"/>
  <c r="N114" i="13"/>
  <c r="O114" i="13"/>
  <c r="N115" i="13"/>
  <c r="O115" i="13"/>
  <c r="N116" i="13"/>
  <c r="O116" i="13"/>
  <c r="N117" i="13"/>
  <c r="O117" i="13"/>
  <c r="N118" i="13"/>
  <c r="O118" i="13"/>
  <c r="N119" i="13"/>
  <c r="O119" i="13"/>
  <c r="N120" i="13"/>
  <c r="O120" i="13"/>
  <c r="N121" i="13"/>
  <c r="O121" i="13"/>
  <c r="N122" i="13"/>
  <c r="O122" i="13"/>
  <c r="N123" i="13"/>
  <c r="O123" i="13"/>
  <c r="N124" i="13"/>
  <c r="O124" i="13"/>
  <c r="N125" i="13"/>
  <c r="O125" i="13"/>
  <c r="N126" i="13"/>
  <c r="O126" i="13"/>
  <c r="N127" i="13"/>
  <c r="O127" i="13"/>
  <c r="N128" i="13"/>
  <c r="O128" i="13"/>
  <c r="N129" i="13"/>
  <c r="O129" i="13"/>
  <c r="N130" i="13"/>
  <c r="O130" i="13"/>
  <c r="N131" i="13"/>
  <c r="O131" i="13"/>
  <c r="N132" i="13"/>
  <c r="O132" i="13"/>
  <c r="N133" i="13"/>
  <c r="O133" i="13"/>
  <c r="N134" i="13"/>
  <c r="O134" i="13"/>
  <c r="N135" i="13"/>
  <c r="O135" i="13"/>
  <c r="N136" i="13"/>
  <c r="O136" i="13"/>
  <c r="N137" i="13"/>
  <c r="O137" i="13"/>
  <c r="N138" i="13"/>
  <c r="O138" i="13"/>
  <c r="N139" i="13"/>
  <c r="O139" i="13"/>
  <c r="N140" i="13"/>
  <c r="O140" i="13"/>
  <c r="N141" i="13"/>
  <c r="O141" i="13"/>
  <c r="N142" i="13"/>
  <c r="O142" i="13"/>
  <c r="N143" i="13"/>
  <c r="O143" i="13"/>
  <c r="N144" i="13"/>
  <c r="O144" i="13"/>
  <c r="N145" i="13"/>
  <c r="O145" i="13"/>
  <c r="N146" i="13"/>
  <c r="O146" i="13"/>
  <c r="N147" i="13"/>
  <c r="O147" i="13"/>
  <c r="N148" i="13"/>
  <c r="O148" i="13"/>
  <c r="N149" i="13"/>
  <c r="O149" i="13"/>
  <c r="N150" i="13"/>
  <c r="O150" i="13"/>
  <c r="N151" i="13"/>
  <c r="O151" i="13"/>
  <c r="N152" i="13"/>
  <c r="O152" i="13"/>
  <c r="N153" i="13"/>
  <c r="O153" i="13"/>
  <c r="N154" i="13"/>
  <c r="O154" i="13"/>
  <c r="N155" i="13"/>
  <c r="O155" i="13"/>
  <c r="N156" i="13"/>
  <c r="O156" i="13"/>
  <c r="N157" i="13"/>
  <c r="O157" i="13"/>
  <c r="N158" i="13"/>
  <c r="O158" i="13"/>
  <c r="N159" i="13"/>
  <c r="O159" i="13"/>
  <c r="N160" i="13"/>
  <c r="O160" i="13"/>
  <c r="N161" i="13"/>
  <c r="O161" i="13"/>
  <c r="N162" i="13"/>
  <c r="O162" i="13"/>
  <c r="N163" i="13"/>
  <c r="O163" i="13"/>
  <c r="N164" i="13"/>
  <c r="O164" i="13"/>
  <c r="N165" i="13"/>
  <c r="O165" i="13"/>
  <c r="N166" i="13"/>
  <c r="O166" i="13"/>
  <c r="N167" i="13"/>
  <c r="O167" i="13"/>
  <c r="N168" i="13"/>
  <c r="O168" i="13"/>
  <c r="N169" i="13"/>
  <c r="O169" i="13"/>
  <c r="N170" i="13"/>
  <c r="O170" i="13"/>
  <c r="N171" i="13"/>
  <c r="O171" i="13"/>
  <c r="N172" i="13"/>
  <c r="O172" i="13"/>
  <c r="N173" i="13"/>
  <c r="O173" i="13"/>
  <c r="N174" i="13"/>
  <c r="O174" i="13"/>
  <c r="N175" i="13"/>
  <c r="O175" i="13"/>
  <c r="N176" i="13"/>
  <c r="O176" i="13"/>
  <c r="N177" i="13"/>
  <c r="O177" i="13"/>
  <c r="N178" i="13"/>
  <c r="O178" i="13"/>
  <c r="N179" i="13"/>
  <c r="O179" i="13"/>
  <c r="N180" i="13"/>
  <c r="O180" i="13"/>
  <c r="N181" i="13"/>
  <c r="O181" i="13"/>
  <c r="N182" i="13"/>
  <c r="O182" i="13"/>
  <c r="N183" i="13"/>
  <c r="O183" i="13"/>
  <c r="N184" i="13"/>
  <c r="O184" i="13"/>
  <c r="N185" i="13"/>
  <c r="O185" i="13"/>
  <c r="N186" i="13"/>
  <c r="O186" i="13"/>
  <c r="N187" i="13"/>
  <c r="O187" i="13"/>
  <c r="N188" i="13"/>
  <c r="O188" i="13"/>
  <c r="N189" i="13"/>
  <c r="O189" i="13"/>
  <c r="N190" i="13"/>
  <c r="O190" i="13"/>
  <c r="N191" i="13"/>
  <c r="O191" i="13"/>
  <c r="N192" i="13"/>
  <c r="O192" i="13"/>
  <c r="N193" i="13"/>
  <c r="O193" i="13"/>
  <c r="N194" i="13"/>
  <c r="O194" i="13"/>
  <c r="N195" i="13"/>
  <c r="O195" i="13"/>
  <c r="N196" i="13"/>
  <c r="O196" i="13"/>
  <c r="N197" i="13"/>
  <c r="O197" i="13"/>
  <c r="N198" i="13"/>
  <c r="O198" i="13"/>
  <c r="N199" i="13"/>
  <c r="O199" i="13"/>
  <c r="N200" i="13"/>
  <c r="O200" i="13"/>
  <c r="N201" i="13"/>
  <c r="O201" i="13"/>
  <c r="N202" i="13"/>
  <c r="O202" i="13"/>
  <c r="N203" i="13"/>
  <c r="O203" i="13"/>
  <c r="N204" i="13"/>
  <c r="O204" i="13"/>
  <c r="N205" i="13"/>
  <c r="O205" i="13"/>
  <c r="N206" i="13"/>
  <c r="O206" i="13"/>
  <c r="N207" i="13"/>
  <c r="O207" i="13"/>
  <c r="N208" i="13"/>
  <c r="O208" i="13"/>
  <c r="N209" i="13"/>
  <c r="O209" i="13"/>
  <c r="N210" i="13"/>
  <c r="O210" i="13"/>
  <c r="N211" i="13"/>
  <c r="O211" i="13"/>
  <c r="N212" i="13"/>
  <c r="O212" i="13"/>
  <c r="N213" i="13"/>
  <c r="O213" i="13"/>
  <c r="N214" i="13"/>
  <c r="O214" i="13"/>
  <c r="N215" i="13"/>
  <c r="O215" i="13"/>
  <c r="N216" i="13"/>
  <c r="O216" i="13"/>
  <c r="N217" i="13"/>
  <c r="O217" i="13"/>
  <c r="N218" i="13"/>
  <c r="O218" i="13"/>
  <c r="N219" i="13"/>
  <c r="O219" i="13"/>
  <c r="N220" i="13"/>
  <c r="O220" i="13"/>
  <c r="N221" i="13"/>
  <c r="O221" i="13"/>
  <c r="N222" i="13"/>
  <c r="O222" i="13"/>
  <c r="N223" i="13"/>
  <c r="O223" i="13"/>
  <c r="N224" i="13"/>
  <c r="O224" i="13"/>
  <c r="N225" i="13"/>
  <c r="O225" i="13"/>
  <c r="N226" i="13"/>
  <c r="O226" i="13"/>
  <c r="N227" i="13"/>
  <c r="O227" i="13"/>
  <c r="N228" i="13"/>
  <c r="O228" i="13"/>
  <c r="N229" i="13"/>
  <c r="O229" i="13"/>
  <c r="N230" i="13"/>
  <c r="O230" i="13"/>
  <c r="N231" i="13"/>
  <c r="O231" i="13"/>
  <c r="N232" i="13"/>
  <c r="O232" i="13"/>
  <c r="N233" i="13"/>
  <c r="O233" i="13"/>
  <c r="N234" i="13"/>
  <c r="O234" i="13"/>
  <c r="N235" i="13"/>
  <c r="O235" i="13"/>
  <c r="N236" i="13"/>
  <c r="O236" i="13"/>
  <c r="N237" i="13"/>
  <c r="O237" i="13"/>
  <c r="N238" i="13"/>
  <c r="O238" i="13"/>
  <c r="N239" i="13"/>
  <c r="O239" i="13"/>
  <c r="N240" i="13"/>
  <c r="O240" i="13"/>
  <c r="N241" i="13"/>
  <c r="O241" i="13"/>
  <c r="N242" i="13"/>
  <c r="O242" i="13"/>
  <c r="N243" i="13"/>
  <c r="O243" i="13"/>
  <c r="N244" i="13"/>
  <c r="O244" i="13"/>
  <c r="N245" i="13"/>
  <c r="O245" i="13"/>
  <c r="N246" i="13"/>
  <c r="O246" i="13"/>
  <c r="N247" i="13"/>
  <c r="O247" i="13"/>
  <c r="N248" i="13"/>
  <c r="O248" i="13"/>
  <c r="N249" i="13"/>
  <c r="O249" i="13"/>
  <c r="N250" i="13"/>
  <c r="O250" i="13"/>
  <c r="N251" i="13"/>
  <c r="O251" i="13"/>
  <c r="N252" i="13"/>
  <c r="O252" i="13"/>
  <c r="N253" i="13"/>
  <c r="O253" i="13"/>
  <c r="N254" i="13"/>
  <c r="O254" i="13"/>
  <c r="N255" i="13"/>
  <c r="O255" i="13"/>
  <c r="N256" i="13"/>
  <c r="O256" i="13"/>
  <c r="N257" i="13"/>
  <c r="O257" i="13"/>
  <c r="N258" i="13"/>
  <c r="O258" i="13"/>
  <c r="N259" i="13"/>
  <c r="O259" i="13"/>
  <c r="N260" i="13"/>
  <c r="O260" i="13"/>
  <c r="N261" i="13"/>
  <c r="O261" i="13"/>
  <c r="N262" i="13"/>
  <c r="O262" i="13"/>
  <c r="N263" i="13"/>
  <c r="O263" i="13"/>
  <c r="N264" i="13"/>
  <c r="O264" i="13"/>
  <c r="N265" i="13"/>
  <c r="O265" i="13"/>
  <c r="N266" i="13"/>
  <c r="O266" i="13"/>
  <c r="N267" i="13"/>
  <c r="O267" i="13"/>
  <c r="N268" i="13"/>
  <c r="O268" i="13"/>
  <c r="N269" i="13"/>
  <c r="O269" i="13"/>
  <c r="N270" i="13"/>
  <c r="O270" i="13"/>
  <c r="N271" i="13"/>
  <c r="O271" i="13"/>
  <c r="N272" i="13"/>
  <c r="O272" i="13"/>
  <c r="N273" i="13"/>
  <c r="O273" i="13"/>
  <c r="N274" i="13"/>
  <c r="O274" i="13"/>
  <c r="N275" i="13"/>
  <c r="O275" i="13"/>
  <c r="N276" i="13"/>
  <c r="O276" i="13"/>
  <c r="N277" i="13"/>
  <c r="O277" i="13"/>
  <c r="N278" i="13"/>
  <c r="O278" i="13"/>
  <c r="N279" i="13"/>
  <c r="O279" i="13"/>
  <c r="N280" i="13"/>
  <c r="O280" i="13"/>
  <c r="N281" i="13"/>
  <c r="O281" i="13"/>
  <c r="N282" i="13"/>
  <c r="O282" i="13"/>
  <c r="N283" i="13"/>
  <c r="O283" i="13"/>
  <c r="N284" i="13"/>
  <c r="O284" i="13"/>
  <c r="N285" i="13"/>
  <c r="O285" i="13"/>
  <c r="N286" i="13"/>
  <c r="O286" i="13"/>
  <c r="N287" i="13"/>
  <c r="O287" i="13"/>
  <c r="N288" i="13"/>
  <c r="O288" i="13"/>
  <c r="N289" i="13"/>
  <c r="O289" i="13"/>
  <c r="N290" i="13"/>
  <c r="O290" i="13"/>
  <c r="N291" i="13"/>
  <c r="O291" i="13"/>
  <c r="N292" i="13"/>
  <c r="O292" i="13"/>
  <c r="N293" i="13"/>
  <c r="O293" i="13"/>
  <c r="N294" i="13"/>
  <c r="O294" i="13"/>
  <c r="N295" i="13"/>
  <c r="O295" i="13"/>
  <c r="N296" i="13"/>
  <c r="O296" i="13"/>
  <c r="N297" i="13"/>
  <c r="O297" i="13"/>
  <c r="N298" i="13"/>
  <c r="O298" i="13"/>
  <c r="N299" i="13"/>
  <c r="O299" i="13"/>
  <c r="N300" i="13"/>
  <c r="O300" i="13"/>
  <c r="N301" i="13"/>
  <c r="O301" i="13"/>
  <c r="N302" i="13"/>
  <c r="O302" i="13"/>
  <c r="N303" i="13"/>
  <c r="O303" i="13"/>
  <c r="N304" i="13"/>
  <c r="O304" i="13"/>
  <c r="N305" i="13"/>
  <c r="O305" i="13"/>
  <c r="N306" i="13"/>
  <c r="O306" i="13"/>
  <c r="N307" i="13"/>
  <c r="O307" i="13"/>
  <c r="N308" i="13"/>
  <c r="O308" i="13"/>
  <c r="N309" i="13"/>
  <c r="O309" i="13"/>
  <c r="N310" i="13"/>
  <c r="O310" i="13"/>
  <c r="N311" i="13"/>
  <c r="O311" i="13"/>
  <c r="N312" i="13"/>
  <c r="O312" i="13"/>
  <c r="N313" i="13"/>
  <c r="O313" i="13"/>
  <c r="N314" i="13"/>
  <c r="O314" i="13"/>
  <c r="N315" i="13"/>
  <c r="O315" i="13"/>
  <c r="N316" i="13"/>
  <c r="O316" i="13"/>
  <c r="N317" i="13"/>
  <c r="O317" i="13"/>
  <c r="N318" i="13"/>
  <c r="O318" i="13"/>
  <c r="N319" i="13"/>
  <c r="O319" i="13"/>
  <c r="N320" i="13"/>
  <c r="O320" i="13"/>
  <c r="N321" i="13"/>
  <c r="O321" i="13"/>
  <c r="N322" i="13"/>
  <c r="O322" i="13"/>
  <c r="N323" i="13"/>
  <c r="O323" i="13"/>
  <c r="N324" i="13"/>
  <c r="O324" i="13"/>
  <c r="N325" i="13"/>
  <c r="O325" i="13"/>
  <c r="N326" i="13"/>
  <c r="O326" i="13"/>
  <c r="N327" i="13"/>
  <c r="O327" i="13"/>
  <c r="N328" i="13"/>
  <c r="O328" i="13"/>
  <c r="N329" i="13"/>
  <c r="O329" i="13"/>
  <c r="N330" i="13"/>
  <c r="O330" i="13"/>
  <c r="N331" i="13"/>
  <c r="O331" i="13"/>
  <c r="N332" i="13"/>
  <c r="O332" i="13"/>
  <c r="N333" i="13"/>
  <c r="O333" i="13"/>
  <c r="N334" i="13"/>
  <c r="O334" i="13"/>
  <c r="N335" i="13"/>
  <c r="O335" i="13"/>
  <c r="N336" i="13"/>
  <c r="O336" i="13"/>
  <c r="N337" i="13"/>
  <c r="O337" i="13"/>
  <c r="N338" i="13"/>
  <c r="O338" i="13"/>
  <c r="N339" i="13"/>
  <c r="O339" i="13"/>
  <c r="N340" i="13"/>
  <c r="O340" i="13"/>
  <c r="N341" i="13"/>
  <c r="O341" i="13"/>
  <c r="N342" i="13"/>
  <c r="O342" i="13"/>
  <c r="N343" i="13"/>
  <c r="O343" i="13"/>
  <c r="N344" i="13"/>
  <c r="O344" i="13"/>
  <c r="N345" i="13"/>
  <c r="O345" i="13"/>
  <c r="N346" i="13"/>
  <c r="O346" i="13"/>
  <c r="N347" i="13"/>
  <c r="O347" i="13"/>
  <c r="N348" i="13"/>
  <c r="O348" i="13"/>
  <c r="N349" i="13"/>
  <c r="O349" i="13"/>
  <c r="N350" i="13"/>
  <c r="O350" i="13"/>
  <c r="N351" i="13"/>
  <c r="O351" i="13"/>
  <c r="N352" i="13"/>
  <c r="O352" i="13"/>
  <c r="N353" i="13"/>
  <c r="O353" i="13"/>
  <c r="N354" i="13"/>
  <c r="O354" i="13"/>
  <c r="N355" i="13"/>
  <c r="O355" i="13"/>
  <c r="N356" i="13"/>
  <c r="O356" i="13"/>
  <c r="N357" i="13"/>
  <c r="O357" i="13"/>
  <c r="N358" i="13"/>
  <c r="O358" i="13"/>
  <c r="N359" i="13"/>
  <c r="O359" i="13"/>
  <c r="N360" i="13"/>
  <c r="O360" i="13"/>
  <c r="N361" i="13"/>
  <c r="O361" i="13"/>
  <c r="N362" i="13"/>
  <c r="O362" i="13"/>
  <c r="N363" i="13"/>
  <c r="O363" i="13"/>
  <c r="N364" i="13"/>
  <c r="O364" i="13"/>
  <c r="N365" i="13"/>
  <c r="O365" i="13"/>
  <c r="N366" i="13"/>
  <c r="O366" i="13"/>
  <c r="N367" i="13"/>
  <c r="O367" i="13"/>
  <c r="N368" i="13"/>
  <c r="O368" i="13"/>
  <c r="N369" i="13"/>
  <c r="O369" i="13"/>
  <c r="N370" i="13"/>
  <c r="O370" i="13"/>
  <c r="N371" i="13"/>
  <c r="O371" i="13"/>
  <c r="N372" i="13"/>
  <c r="O372" i="13"/>
  <c r="N373" i="13"/>
  <c r="O373" i="13"/>
  <c r="N374" i="13"/>
  <c r="O374" i="13"/>
  <c r="N375" i="13"/>
  <c r="O375" i="13"/>
  <c r="N376" i="13"/>
  <c r="O376" i="13"/>
  <c r="N377" i="13"/>
  <c r="O377" i="13"/>
  <c r="N378" i="13"/>
  <c r="O378" i="13"/>
  <c r="N379" i="13"/>
  <c r="O379" i="13"/>
  <c r="N380" i="13"/>
  <c r="O380" i="13"/>
  <c r="N381" i="13"/>
  <c r="O381" i="13"/>
  <c r="N382" i="13"/>
  <c r="O382" i="13"/>
  <c r="N383" i="13"/>
  <c r="O383" i="13"/>
  <c r="N384" i="13"/>
  <c r="O384" i="13"/>
  <c r="N385" i="13"/>
  <c r="O385" i="13"/>
  <c r="N386" i="13"/>
  <c r="O386" i="13"/>
  <c r="N387" i="13"/>
  <c r="O387" i="13"/>
  <c r="N388" i="13"/>
  <c r="O388" i="13"/>
  <c r="N389" i="13"/>
  <c r="O389" i="13"/>
  <c r="N390" i="13"/>
  <c r="O390" i="13"/>
  <c r="N391" i="13"/>
  <c r="O391" i="13"/>
  <c r="N392" i="13"/>
  <c r="O392" i="13"/>
  <c r="N393" i="13"/>
  <c r="O393" i="13"/>
  <c r="N394" i="13"/>
  <c r="O394" i="13"/>
  <c r="N395" i="13"/>
  <c r="O395" i="13"/>
  <c r="N396" i="13"/>
  <c r="O396" i="13"/>
  <c r="N397" i="13"/>
  <c r="O397" i="13"/>
  <c r="N398" i="13"/>
  <c r="O398" i="13"/>
  <c r="N399" i="13"/>
  <c r="O399" i="13"/>
  <c r="N400" i="13"/>
  <c r="O400" i="13"/>
  <c r="N401" i="13"/>
  <c r="O401" i="13"/>
  <c r="N402" i="13"/>
  <c r="O402" i="13"/>
  <c r="N403" i="13"/>
  <c r="O403" i="13"/>
  <c r="N404" i="13"/>
  <c r="O404" i="13"/>
  <c r="N405" i="13"/>
  <c r="O405" i="13"/>
  <c r="N406" i="13"/>
  <c r="O406" i="13"/>
  <c r="N407" i="13"/>
  <c r="O407" i="13"/>
  <c r="N408" i="13"/>
  <c r="O408" i="13"/>
  <c r="N409" i="13"/>
  <c r="O409" i="13"/>
  <c r="N410" i="13"/>
  <c r="O410" i="13"/>
  <c r="N411" i="13"/>
  <c r="O411" i="13"/>
  <c r="N412" i="13"/>
  <c r="O412" i="13"/>
  <c r="N413" i="13"/>
  <c r="O413" i="13"/>
  <c r="N414" i="13"/>
  <c r="O414" i="13"/>
  <c r="N415" i="13"/>
  <c r="O415" i="13"/>
  <c r="N416" i="13"/>
  <c r="O416" i="13"/>
  <c r="N417" i="13"/>
  <c r="O417" i="13"/>
  <c r="N418" i="13"/>
  <c r="O418" i="13"/>
  <c r="N419" i="13"/>
  <c r="O419" i="13"/>
  <c r="N420" i="13"/>
  <c r="O420" i="13"/>
  <c r="N421" i="13"/>
  <c r="O421" i="13"/>
  <c r="N422" i="13"/>
  <c r="O422" i="13"/>
  <c r="N423" i="13"/>
  <c r="O423" i="13"/>
  <c r="N424" i="13"/>
  <c r="O424" i="13"/>
  <c r="N425" i="13"/>
  <c r="O425" i="13"/>
  <c r="N426" i="13"/>
  <c r="O426" i="13"/>
  <c r="N427" i="13"/>
  <c r="O427" i="13"/>
  <c r="N428" i="13"/>
  <c r="O428" i="13"/>
  <c r="N429" i="13"/>
  <c r="O429" i="13"/>
  <c r="N430" i="13"/>
  <c r="O430" i="13"/>
  <c r="N431" i="13"/>
  <c r="O431" i="13"/>
  <c r="N432" i="13"/>
  <c r="O432" i="13"/>
  <c r="N433" i="13"/>
  <c r="O433" i="13"/>
  <c r="N434" i="13"/>
  <c r="O434" i="13"/>
  <c r="N435" i="13"/>
  <c r="O435" i="13"/>
  <c r="N436" i="13"/>
  <c r="O436" i="13"/>
  <c r="N437" i="13"/>
  <c r="O437" i="13"/>
  <c r="N438" i="13"/>
  <c r="O438" i="13"/>
  <c r="N439" i="13"/>
  <c r="O439" i="13"/>
  <c r="N440" i="13"/>
  <c r="O440" i="13"/>
  <c r="N441" i="13"/>
  <c r="O441" i="13"/>
  <c r="N442" i="13"/>
  <c r="O442" i="13"/>
  <c r="N443" i="13"/>
  <c r="O443" i="13"/>
  <c r="N444" i="13"/>
  <c r="O444" i="13"/>
  <c r="N445" i="13"/>
  <c r="O445" i="13"/>
  <c r="N446" i="13"/>
  <c r="O446" i="13"/>
  <c r="N447" i="13"/>
  <c r="O447" i="13"/>
  <c r="N448" i="13"/>
  <c r="O448" i="13"/>
  <c r="N449" i="13"/>
  <c r="O449" i="13"/>
  <c r="N450" i="13"/>
  <c r="O450" i="13"/>
  <c r="N451" i="13"/>
  <c r="O451" i="13"/>
  <c r="N452" i="13"/>
  <c r="O452" i="13"/>
  <c r="N453" i="13"/>
  <c r="O453" i="13"/>
  <c r="N454" i="13"/>
  <c r="O454" i="13"/>
  <c r="N455" i="13"/>
  <c r="O455" i="13"/>
  <c r="N456" i="13"/>
  <c r="O456" i="13"/>
  <c r="N457" i="13"/>
  <c r="O457" i="13"/>
  <c r="N458" i="13"/>
  <c r="O458" i="13"/>
  <c r="N459" i="13"/>
  <c r="O459" i="13"/>
  <c r="N460" i="13"/>
  <c r="O460" i="13"/>
  <c r="N461" i="13"/>
  <c r="O461" i="13"/>
  <c r="N462" i="13"/>
  <c r="O462" i="13"/>
  <c r="N463" i="13"/>
  <c r="O463" i="13"/>
  <c r="N464" i="13"/>
  <c r="O464" i="13"/>
  <c r="N465" i="13"/>
  <c r="O465" i="13"/>
  <c r="N466" i="13"/>
  <c r="O466" i="13"/>
  <c r="N467" i="13"/>
  <c r="O467" i="13"/>
  <c r="N468" i="13"/>
  <c r="O468" i="13"/>
  <c r="N469" i="13"/>
  <c r="O469" i="13"/>
  <c r="N470" i="13"/>
  <c r="O470" i="13"/>
  <c r="N471" i="13"/>
  <c r="O471" i="13"/>
  <c r="N472" i="13"/>
  <c r="O472" i="13"/>
  <c r="N473" i="13"/>
  <c r="O473" i="13"/>
  <c r="N474" i="13"/>
  <c r="O474" i="13"/>
  <c r="N475" i="13"/>
  <c r="O475" i="13"/>
  <c r="N476" i="13"/>
  <c r="O476" i="13"/>
  <c r="N477" i="13"/>
  <c r="O477" i="13"/>
  <c r="N478" i="13"/>
  <c r="O478" i="13"/>
  <c r="N479" i="13"/>
  <c r="O479" i="13"/>
  <c r="N480" i="13"/>
  <c r="O480" i="13"/>
  <c r="N481" i="13"/>
  <c r="O481" i="13"/>
  <c r="N482" i="13"/>
  <c r="O482" i="13"/>
  <c r="N483" i="13"/>
  <c r="O483" i="13"/>
  <c r="N484" i="13"/>
  <c r="O484" i="13"/>
  <c r="N485" i="13"/>
  <c r="O485" i="13"/>
  <c r="N486" i="13"/>
  <c r="O486" i="13"/>
  <c r="N487" i="13"/>
  <c r="O487" i="13"/>
  <c r="N488" i="13"/>
  <c r="O488" i="13"/>
  <c r="N489" i="13"/>
  <c r="O489" i="13"/>
  <c r="N490" i="13"/>
  <c r="O490" i="13"/>
  <c r="N491" i="13"/>
  <c r="O491" i="13"/>
  <c r="N492" i="13"/>
  <c r="O492" i="13"/>
  <c r="N493" i="13"/>
  <c r="O493" i="13"/>
  <c r="N494" i="13"/>
  <c r="O494" i="13"/>
  <c r="N495" i="13"/>
  <c r="O495" i="13"/>
  <c r="N496" i="13"/>
  <c r="O496" i="13"/>
  <c r="N497" i="13"/>
  <c r="O497" i="13"/>
  <c r="N498" i="13"/>
  <c r="O498" i="13"/>
  <c r="N499" i="13"/>
  <c r="O499" i="13"/>
  <c r="N500" i="13"/>
  <c r="O500" i="13"/>
  <c r="N501" i="13"/>
  <c r="O501" i="13"/>
  <c r="N502" i="13"/>
  <c r="O502" i="13"/>
  <c r="N503" i="13"/>
  <c r="O503" i="13"/>
  <c r="N504" i="13"/>
  <c r="O504" i="13"/>
  <c r="N505" i="13"/>
  <c r="O505" i="13"/>
  <c r="N506" i="13"/>
  <c r="O506" i="13"/>
  <c r="N507" i="13"/>
  <c r="O507" i="13"/>
  <c r="N508" i="13"/>
  <c r="O508" i="13"/>
  <c r="N509" i="13"/>
  <c r="O509" i="13"/>
  <c r="N510" i="13"/>
  <c r="O510" i="13"/>
  <c r="N511" i="13"/>
  <c r="O511" i="13"/>
  <c r="N512" i="13"/>
  <c r="O512" i="13"/>
  <c r="N513" i="13"/>
  <c r="O513" i="13"/>
  <c r="N514" i="13"/>
  <c r="O514" i="13"/>
  <c r="N515" i="13"/>
  <c r="O515" i="13"/>
  <c r="N516" i="13"/>
  <c r="O516" i="13"/>
  <c r="N517" i="13"/>
  <c r="O517" i="13"/>
  <c r="N518" i="13"/>
  <c r="O518" i="13"/>
  <c r="N519" i="13"/>
  <c r="O519" i="13"/>
  <c r="N520" i="13"/>
  <c r="O520" i="13"/>
  <c r="N521" i="13"/>
  <c r="O521" i="13"/>
  <c r="N522" i="13"/>
  <c r="O522" i="13"/>
  <c r="N523" i="13"/>
  <c r="O523" i="13"/>
  <c r="N524" i="13"/>
  <c r="O524" i="13"/>
  <c r="N525" i="13"/>
  <c r="O525" i="13"/>
  <c r="N526" i="13"/>
  <c r="O526" i="13"/>
  <c r="N527" i="13"/>
  <c r="O527" i="13"/>
  <c r="N528" i="13"/>
  <c r="O528" i="13"/>
  <c r="N529" i="13"/>
  <c r="O529" i="13"/>
  <c r="N530" i="13"/>
  <c r="O530" i="13"/>
  <c r="N531" i="13"/>
  <c r="O531" i="13"/>
  <c r="N532" i="13"/>
  <c r="O532" i="13"/>
  <c r="N533" i="13"/>
  <c r="O533" i="13"/>
  <c r="N534" i="13"/>
  <c r="O534" i="13"/>
  <c r="N535" i="13"/>
  <c r="O535" i="13"/>
  <c r="N536" i="13"/>
  <c r="O536" i="13"/>
  <c r="N537" i="13"/>
  <c r="O537" i="13"/>
  <c r="N538" i="13"/>
  <c r="O538" i="13"/>
  <c r="N539" i="13"/>
  <c r="O539" i="13"/>
  <c r="N540" i="13"/>
  <c r="O540" i="13"/>
  <c r="N541" i="13"/>
  <c r="O541" i="13"/>
  <c r="N542" i="13"/>
  <c r="O542" i="13"/>
  <c r="N543" i="13"/>
  <c r="O543" i="13"/>
  <c r="N544" i="13"/>
  <c r="O544" i="13"/>
  <c r="N545" i="13"/>
  <c r="O545" i="13"/>
  <c r="N546" i="13"/>
  <c r="O546" i="13"/>
  <c r="N547" i="13"/>
  <c r="O547" i="13"/>
  <c r="N548" i="13"/>
  <c r="O548" i="13"/>
  <c r="N549" i="13"/>
  <c r="O549" i="13"/>
  <c r="N550" i="13"/>
  <c r="O550" i="13"/>
  <c r="N551" i="13"/>
  <c r="O551" i="13"/>
  <c r="N552" i="13"/>
  <c r="O552" i="13"/>
  <c r="N553" i="13"/>
  <c r="O553" i="13"/>
  <c r="N554" i="13"/>
  <c r="O554" i="13"/>
  <c r="N555" i="13"/>
  <c r="O555" i="13"/>
  <c r="N556" i="13"/>
  <c r="O556" i="13"/>
  <c r="N557" i="13"/>
  <c r="O557" i="13"/>
  <c r="N558" i="13"/>
  <c r="O558" i="13"/>
  <c r="N559" i="13"/>
  <c r="O559" i="13"/>
  <c r="N560" i="13"/>
  <c r="O560" i="13"/>
  <c r="N561" i="13"/>
  <c r="O561" i="13"/>
  <c r="N562" i="13"/>
  <c r="O562" i="13"/>
  <c r="N563" i="13"/>
  <c r="O563" i="13"/>
  <c r="N564" i="13"/>
  <c r="O564" i="13"/>
  <c r="N565" i="13"/>
  <c r="O565" i="13"/>
  <c r="N566" i="13"/>
  <c r="O566" i="13"/>
  <c r="N567" i="13"/>
  <c r="O567" i="13"/>
  <c r="N568" i="13"/>
  <c r="O568" i="13"/>
  <c r="N569" i="13"/>
  <c r="O569" i="13"/>
  <c r="N570" i="13"/>
  <c r="O570" i="13"/>
  <c r="N571" i="13"/>
  <c r="O571" i="13"/>
  <c r="N572" i="13"/>
  <c r="O572" i="13"/>
  <c r="N573" i="13"/>
  <c r="O573" i="13"/>
  <c r="N574" i="13"/>
  <c r="O574" i="13"/>
  <c r="N575" i="13"/>
  <c r="O575" i="13"/>
  <c r="N576" i="13"/>
  <c r="O576" i="13"/>
  <c r="N577" i="13"/>
  <c r="O577" i="13"/>
  <c r="N578" i="13"/>
  <c r="O578" i="13"/>
  <c r="N579" i="13"/>
  <c r="O579" i="13"/>
  <c r="N580" i="13"/>
  <c r="O580" i="13"/>
  <c r="N581" i="13"/>
  <c r="O581" i="13"/>
  <c r="N582" i="13"/>
  <c r="O582" i="13"/>
  <c r="N583" i="13"/>
  <c r="O583" i="13"/>
  <c r="N584" i="13"/>
  <c r="O584" i="13"/>
  <c r="N585" i="13"/>
  <c r="O585" i="13"/>
  <c r="N586" i="13"/>
  <c r="O586" i="13"/>
  <c r="N587" i="13"/>
  <c r="O587" i="13"/>
  <c r="N588" i="13"/>
  <c r="O588" i="13"/>
  <c r="N589" i="13"/>
  <c r="O589" i="13"/>
  <c r="N590" i="13"/>
  <c r="O590" i="13"/>
  <c r="N591" i="13"/>
  <c r="O591" i="13"/>
  <c r="N592" i="13"/>
  <c r="O592" i="13"/>
  <c r="N593" i="13"/>
  <c r="O593" i="13"/>
  <c r="N594" i="13"/>
  <c r="O594" i="13"/>
  <c r="N595" i="13"/>
  <c r="O595" i="13"/>
  <c r="N596" i="13"/>
  <c r="O596" i="13"/>
  <c r="N597" i="13"/>
  <c r="O597" i="13"/>
  <c r="N598" i="13"/>
  <c r="O598" i="13"/>
  <c r="N599" i="13"/>
  <c r="O599" i="13"/>
  <c r="N600" i="13"/>
  <c r="O600" i="13"/>
  <c r="N601" i="13"/>
  <c r="O601" i="13"/>
  <c r="N602" i="13"/>
  <c r="O602" i="13"/>
  <c r="N603" i="13"/>
  <c r="O603" i="13"/>
  <c r="N604" i="13"/>
  <c r="O604" i="13"/>
  <c r="N605" i="13"/>
  <c r="O605" i="13"/>
  <c r="N606" i="13"/>
  <c r="O606" i="13"/>
  <c r="N607" i="13"/>
  <c r="O607" i="13"/>
  <c r="N608" i="13"/>
  <c r="O608" i="13"/>
  <c r="N609" i="13"/>
  <c r="O609" i="13"/>
  <c r="N610" i="13"/>
  <c r="O610" i="13"/>
  <c r="N611" i="13"/>
  <c r="O611" i="13"/>
  <c r="N612" i="13"/>
  <c r="O612" i="13"/>
  <c r="N613" i="13"/>
  <c r="O613" i="13"/>
  <c r="N614" i="13"/>
  <c r="O614" i="13"/>
  <c r="N615" i="13"/>
  <c r="O615" i="13"/>
  <c r="N616" i="13"/>
  <c r="O616" i="13"/>
  <c r="N617" i="13"/>
  <c r="O617" i="13"/>
  <c r="N618" i="13"/>
  <c r="O618" i="13"/>
  <c r="N619" i="13"/>
  <c r="O619" i="13"/>
  <c r="N620" i="13"/>
  <c r="O620" i="13"/>
  <c r="N621" i="13"/>
  <c r="O621" i="13"/>
  <c r="N622" i="13"/>
  <c r="O622" i="13"/>
  <c r="N623" i="13"/>
  <c r="O623" i="13"/>
  <c r="N624" i="13"/>
  <c r="O624" i="13"/>
  <c r="N625" i="13"/>
  <c r="O625" i="13"/>
  <c r="N626" i="13"/>
  <c r="O626" i="13"/>
  <c r="N627" i="13"/>
  <c r="O627" i="13"/>
  <c r="N628" i="13"/>
  <c r="O628" i="13"/>
  <c r="N629" i="13"/>
  <c r="O629" i="13"/>
  <c r="N630" i="13"/>
  <c r="O630" i="13"/>
  <c r="N631" i="13"/>
  <c r="O631" i="13"/>
  <c r="N632" i="13"/>
  <c r="O632" i="13"/>
  <c r="N633" i="13"/>
  <c r="O633" i="13"/>
  <c r="N634" i="13"/>
  <c r="O634" i="13"/>
  <c r="N635" i="13"/>
  <c r="O635" i="13"/>
  <c r="N636" i="13"/>
  <c r="O636" i="13"/>
  <c r="N637" i="13"/>
  <c r="O637" i="13"/>
  <c r="N638" i="13"/>
  <c r="O638" i="13"/>
  <c r="N639" i="13"/>
  <c r="O639" i="13"/>
  <c r="N640" i="13"/>
  <c r="O640" i="13"/>
  <c r="N641" i="13"/>
  <c r="O641" i="13"/>
  <c r="N642" i="13"/>
  <c r="O642" i="13"/>
  <c r="N643" i="13"/>
  <c r="O643" i="13"/>
  <c r="N644" i="13"/>
  <c r="O644" i="13"/>
  <c r="N645" i="13"/>
  <c r="O645" i="13"/>
  <c r="N646" i="13"/>
  <c r="O646" i="13"/>
  <c r="N647" i="13"/>
  <c r="O647" i="13"/>
  <c r="N648" i="13"/>
  <c r="O648" i="13"/>
  <c r="N649" i="13"/>
  <c r="O649" i="13"/>
  <c r="N650" i="13"/>
  <c r="O650" i="13"/>
  <c r="N651" i="13"/>
  <c r="O651" i="13"/>
  <c r="N652" i="13"/>
  <c r="O652" i="13"/>
  <c r="N653" i="13"/>
  <c r="O653" i="13"/>
  <c r="N654" i="13"/>
  <c r="O654" i="13"/>
  <c r="N655" i="13"/>
  <c r="O655" i="13"/>
  <c r="N656" i="13"/>
  <c r="O656" i="13"/>
  <c r="N657" i="13"/>
  <c r="O657" i="13"/>
  <c r="N658" i="13"/>
  <c r="O658" i="13"/>
  <c r="N659" i="13"/>
  <c r="O659" i="13"/>
  <c r="N660" i="13"/>
  <c r="O660" i="13"/>
  <c r="N661" i="13"/>
  <c r="O661" i="13"/>
  <c r="N662" i="13"/>
  <c r="O662" i="13"/>
  <c r="N663" i="13"/>
  <c r="O663" i="13"/>
  <c r="N664" i="13"/>
  <c r="O664" i="13"/>
  <c r="N665" i="13"/>
  <c r="O665" i="13"/>
  <c r="N666" i="13"/>
  <c r="O666" i="13"/>
  <c r="N667" i="13"/>
  <c r="O667" i="13"/>
  <c r="N668" i="13"/>
  <c r="O668" i="13"/>
  <c r="N669" i="13"/>
  <c r="O669" i="13"/>
  <c r="N670" i="13"/>
  <c r="O670" i="13"/>
  <c r="N671" i="13"/>
  <c r="O671" i="13"/>
  <c r="N672" i="13"/>
  <c r="O672" i="13"/>
  <c r="N673" i="13"/>
  <c r="O673" i="13"/>
  <c r="N674" i="13"/>
  <c r="O674" i="13"/>
  <c r="N675" i="13"/>
  <c r="O675" i="13"/>
  <c r="N676" i="13"/>
  <c r="O676" i="13"/>
  <c r="N677" i="13"/>
  <c r="O677" i="13"/>
  <c r="N678" i="13"/>
  <c r="O678" i="13"/>
  <c r="N679" i="13"/>
  <c r="O679" i="13"/>
  <c r="N680" i="13"/>
  <c r="O680" i="13"/>
  <c r="N681" i="13"/>
  <c r="O681" i="13"/>
  <c r="N682" i="13"/>
  <c r="O682" i="13"/>
  <c r="N683" i="13"/>
  <c r="O683" i="13"/>
  <c r="N684" i="13"/>
  <c r="O684" i="13"/>
  <c r="N685" i="13"/>
  <c r="O685" i="13"/>
  <c r="N686" i="13"/>
  <c r="O686" i="13"/>
  <c r="N687" i="13"/>
  <c r="O687" i="13"/>
  <c r="N688" i="13"/>
  <c r="O688" i="13"/>
  <c r="N689" i="13"/>
  <c r="O689" i="13"/>
  <c r="N690" i="13"/>
  <c r="O690" i="13"/>
  <c r="N691" i="13"/>
  <c r="O691" i="13"/>
  <c r="N692" i="13"/>
  <c r="O692" i="13"/>
  <c r="N693" i="13"/>
  <c r="O693" i="13"/>
  <c r="N694" i="13"/>
  <c r="O694" i="13"/>
  <c r="N695" i="13"/>
  <c r="O695" i="13"/>
  <c r="N696" i="13"/>
  <c r="O696" i="13"/>
  <c r="N697" i="13"/>
  <c r="O697" i="13"/>
  <c r="N698" i="13"/>
  <c r="O698" i="13"/>
  <c r="N699" i="13"/>
  <c r="O699" i="13"/>
  <c r="N700" i="13"/>
  <c r="O700" i="13"/>
  <c r="N701" i="13"/>
  <c r="O701" i="13"/>
  <c r="N702" i="13"/>
  <c r="O702" i="13"/>
  <c r="N703" i="13"/>
  <c r="O703" i="13"/>
  <c r="N704" i="13"/>
  <c r="O704" i="13"/>
  <c r="N705" i="13"/>
  <c r="O705" i="13"/>
  <c r="N706" i="13"/>
  <c r="O706" i="13"/>
  <c r="N707" i="13"/>
  <c r="O707" i="13"/>
  <c r="N708" i="13"/>
  <c r="O708" i="13"/>
  <c r="N709" i="13"/>
  <c r="O709" i="13"/>
  <c r="N710" i="13"/>
  <c r="O710" i="13"/>
  <c r="N711" i="13"/>
  <c r="O711" i="13"/>
  <c r="N712" i="13"/>
  <c r="O712" i="13"/>
  <c r="N713" i="13"/>
  <c r="O713" i="13"/>
  <c r="N714" i="13"/>
  <c r="O714" i="13"/>
  <c r="N715" i="13"/>
  <c r="O715" i="13"/>
  <c r="N716" i="13"/>
  <c r="O716" i="13"/>
  <c r="N717" i="13"/>
  <c r="O717" i="13"/>
  <c r="N718" i="13"/>
  <c r="O718" i="13"/>
  <c r="N719" i="13"/>
  <c r="O719" i="13"/>
  <c r="N720" i="13"/>
  <c r="O720" i="13"/>
  <c r="N721" i="13"/>
  <c r="O721" i="13"/>
  <c r="N722" i="13"/>
  <c r="O722" i="13"/>
  <c r="N723" i="13"/>
  <c r="O723" i="13"/>
  <c r="N724" i="13"/>
  <c r="O724" i="13"/>
  <c r="N725" i="13"/>
  <c r="O725" i="13"/>
  <c r="N726" i="13"/>
  <c r="O726" i="13"/>
  <c r="N727" i="13"/>
  <c r="O727" i="13"/>
  <c r="N728" i="13"/>
  <c r="O728" i="13"/>
  <c r="N729" i="13"/>
  <c r="O729" i="13"/>
  <c r="N730" i="13"/>
  <c r="O730" i="13"/>
  <c r="N731" i="13"/>
  <c r="O731" i="13"/>
  <c r="N732" i="13"/>
  <c r="O732" i="13"/>
  <c r="N733" i="13"/>
  <c r="O733" i="13"/>
  <c r="N734" i="13"/>
  <c r="O734" i="13"/>
  <c r="N735" i="13"/>
  <c r="O735" i="13"/>
  <c r="N736" i="13"/>
  <c r="O736" i="13"/>
  <c r="N737" i="13"/>
  <c r="O737" i="13"/>
  <c r="N738" i="13"/>
  <c r="O738" i="13"/>
  <c r="N739" i="13"/>
  <c r="O739" i="13"/>
  <c r="N740" i="13"/>
  <c r="O740" i="13"/>
  <c r="N741" i="13"/>
  <c r="O741" i="13"/>
  <c r="N742" i="13"/>
  <c r="O742" i="13"/>
  <c r="N743" i="13"/>
  <c r="O743" i="13"/>
  <c r="N744" i="13"/>
  <c r="O744" i="13"/>
  <c r="N745" i="13"/>
  <c r="O745" i="13"/>
  <c r="N746" i="13"/>
  <c r="O746" i="13"/>
  <c r="N747" i="13"/>
  <c r="O747" i="13"/>
  <c r="N748" i="13"/>
  <c r="O748" i="13"/>
  <c r="N749" i="13"/>
  <c r="O749" i="13"/>
  <c r="N750" i="13"/>
  <c r="O750" i="13"/>
  <c r="N751" i="13"/>
  <c r="O751" i="13"/>
  <c r="N752" i="13"/>
  <c r="O752" i="13"/>
  <c r="N753" i="13"/>
  <c r="O753" i="13"/>
  <c r="N754" i="13"/>
  <c r="O754" i="13"/>
  <c r="N755" i="13"/>
  <c r="O755" i="13"/>
  <c r="N756" i="13"/>
  <c r="O756" i="13"/>
  <c r="N757" i="13"/>
  <c r="O757" i="13"/>
  <c r="N758" i="13"/>
  <c r="O758" i="13"/>
  <c r="N759" i="13"/>
  <c r="O759" i="13"/>
  <c r="N760" i="13"/>
  <c r="O760" i="13"/>
  <c r="N761" i="13"/>
  <c r="O761" i="13"/>
  <c r="N762" i="13"/>
  <c r="O762" i="13"/>
  <c r="N763" i="13"/>
  <c r="O763" i="13"/>
  <c r="N764" i="13"/>
  <c r="O764" i="13"/>
  <c r="N765" i="13"/>
  <c r="O765" i="13"/>
  <c r="N766" i="13"/>
  <c r="O766" i="13"/>
  <c r="N767" i="13"/>
  <c r="O767" i="13"/>
  <c r="N768" i="13"/>
  <c r="O768" i="13"/>
  <c r="N769" i="13"/>
  <c r="O769" i="13"/>
  <c r="N770" i="13"/>
  <c r="O770" i="13"/>
  <c r="N771" i="13"/>
  <c r="O771" i="13"/>
  <c r="N772" i="13"/>
  <c r="O772" i="13"/>
  <c r="N773" i="13"/>
  <c r="O773" i="13"/>
  <c r="N774" i="13"/>
  <c r="O774" i="13"/>
  <c r="N775" i="13"/>
  <c r="O775" i="13"/>
  <c r="N776" i="13"/>
  <c r="O776" i="13"/>
  <c r="N777" i="13"/>
  <c r="O777" i="13"/>
  <c r="N778" i="13"/>
  <c r="O778" i="13"/>
  <c r="N779" i="13"/>
  <c r="O779" i="13"/>
  <c r="N780" i="13"/>
  <c r="O780" i="13"/>
  <c r="N781" i="13"/>
  <c r="O781" i="13"/>
  <c r="N782" i="13"/>
  <c r="O782" i="13"/>
  <c r="N783" i="13"/>
  <c r="O783" i="13"/>
  <c r="N784" i="13"/>
  <c r="O784" i="13"/>
  <c r="N785" i="13"/>
  <c r="O785" i="13"/>
  <c r="N786" i="13"/>
  <c r="O786" i="13"/>
  <c r="N787" i="13"/>
  <c r="O787" i="13"/>
  <c r="N788" i="13"/>
  <c r="O788" i="13"/>
  <c r="N789" i="13"/>
  <c r="O789" i="13"/>
  <c r="N790" i="13"/>
  <c r="O790" i="13"/>
  <c r="N791" i="13"/>
  <c r="O791" i="13"/>
  <c r="N792" i="13"/>
  <c r="O792" i="13"/>
  <c r="N793" i="13"/>
  <c r="O793" i="13"/>
  <c r="N794" i="13"/>
  <c r="O794" i="13"/>
  <c r="N795" i="13"/>
  <c r="O795" i="13"/>
  <c r="N796" i="13"/>
  <c r="O796" i="13"/>
  <c r="N797" i="13"/>
  <c r="O797" i="13"/>
  <c r="N798" i="13"/>
  <c r="O798" i="13"/>
  <c r="N799" i="13"/>
  <c r="O799" i="13"/>
  <c r="N800" i="13"/>
  <c r="O800" i="13"/>
  <c r="N801" i="13"/>
  <c r="O801" i="13"/>
  <c r="N802" i="13"/>
  <c r="O802" i="13"/>
  <c r="N803" i="13"/>
  <c r="O803" i="13"/>
  <c r="N804" i="13"/>
  <c r="O804" i="13"/>
  <c r="N805" i="13"/>
  <c r="O805" i="13"/>
  <c r="N806" i="13"/>
  <c r="O806" i="13"/>
  <c r="N807" i="13"/>
  <c r="O807" i="13"/>
  <c r="N808" i="13"/>
  <c r="O808" i="13"/>
  <c r="N809" i="13"/>
  <c r="O809" i="13"/>
  <c r="N810" i="13"/>
  <c r="O810" i="13"/>
  <c r="N811" i="13"/>
  <c r="O811" i="13"/>
  <c r="N812" i="13"/>
  <c r="O812" i="13"/>
  <c r="N813" i="13"/>
  <c r="O813" i="13"/>
  <c r="N814" i="13"/>
  <c r="O814" i="13"/>
  <c r="N815" i="13"/>
  <c r="O815" i="13"/>
  <c r="N816" i="13"/>
  <c r="O816" i="13"/>
  <c r="N817" i="13"/>
  <c r="O817" i="13"/>
  <c r="N818" i="13"/>
  <c r="O818" i="13"/>
  <c r="N819" i="13"/>
  <c r="O819" i="13"/>
  <c r="N820" i="13"/>
  <c r="O820" i="13"/>
  <c r="N821" i="13"/>
  <c r="O821" i="13"/>
  <c r="N822" i="13"/>
  <c r="O822" i="13"/>
  <c r="N823" i="13"/>
  <c r="O823" i="13"/>
  <c r="N824" i="13"/>
  <c r="O824" i="13"/>
  <c r="N825" i="13"/>
  <c r="O825" i="13"/>
  <c r="N826" i="13"/>
  <c r="O826" i="13"/>
  <c r="N827" i="13"/>
  <c r="O827" i="13"/>
  <c r="N828" i="13"/>
  <c r="O828" i="13"/>
  <c r="N829" i="13"/>
  <c r="O829" i="13"/>
  <c r="N830" i="13"/>
  <c r="O830" i="13"/>
  <c r="N831" i="13"/>
  <c r="O831" i="13"/>
  <c r="N832" i="13"/>
  <c r="O832" i="13"/>
  <c r="N833" i="13"/>
  <c r="O833" i="13"/>
  <c r="N834" i="13"/>
  <c r="O834" i="13"/>
  <c r="N835" i="13"/>
  <c r="O835" i="13"/>
  <c r="N836" i="13"/>
  <c r="O836" i="13"/>
  <c r="N837" i="13"/>
  <c r="O837" i="13"/>
  <c r="N838" i="13"/>
  <c r="O838" i="13"/>
  <c r="N839" i="13"/>
  <c r="O839" i="13"/>
  <c r="N840" i="13"/>
  <c r="O840" i="13"/>
  <c r="N841" i="13"/>
  <c r="O841" i="13"/>
  <c r="N842" i="13"/>
  <c r="O842" i="13"/>
  <c r="N843" i="13"/>
  <c r="O843" i="13"/>
  <c r="N844" i="13"/>
  <c r="O844" i="13"/>
  <c r="N845" i="13"/>
  <c r="O845" i="13"/>
  <c r="N846" i="13"/>
  <c r="O846" i="13"/>
  <c r="N847" i="13"/>
  <c r="O847" i="13"/>
  <c r="N848" i="13"/>
  <c r="O848" i="13"/>
  <c r="N849" i="13"/>
  <c r="O849" i="13"/>
  <c r="N850" i="13"/>
  <c r="O850" i="13"/>
  <c r="N851" i="13"/>
  <c r="O851" i="13"/>
  <c r="N852" i="13"/>
  <c r="O852" i="13"/>
  <c r="N853" i="13"/>
  <c r="O853" i="13"/>
  <c r="N854" i="13"/>
  <c r="O854" i="13"/>
  <c r="N855" i="13"/>
  <c r="O855" i="13"/>
  <c r="N856" i="13"/>
  <c r="O856" i="13"/>
  <c r="N857" i="13"/>
  <c r="O857" i="13"/>
  <c r="N858" i="13"/>
  <c r="O858" i="13"/>
  <c r="N859" i="13"/>
  <c r="O859" i="13"/>
  <c r="N860" i="13"/>
  <c r="O860" i="13"/>
  <c r="N861" i="13"/>
  <c r="O861" i="13"/>
  <c r="N862" i="13"/>
  <c r="O862" i="13"/>
  <c r="N863" i="13"/>
  <c r="O863" i="13"/>
  <c r="N864" i="13"/>
  <c r="O864" i="13"/>
  <c r="N865" i="13"/>
  <c r="O865" i="13"/>
  <c r="N866" i="13"/>
  <c r="O866" i="13"/>
  <c r="N867" i="13"/>
  <c r="O867" i="13"/>
  <c r="N868" i="13"/>
  <c r="O868" i="13"/>
  <c r="N869" i="13"/>
  <c r="O869" i="13"/>
  <c r="N870" i="13"/>
  <c r="O870" i="13"/>
  <c r="N871" i="13"/>
  <c r="O871" i="13"/>
  <c r="N872" i="13"/>
  <c r="O872" i="13"/>
  <c r="N873" i="13"/>
  <c r="O873" i="13"/>
  <c r="N874" i="13"/>
  <c r="O874" i="13"/>
  <c r="N875" i="13"/>
  <c r="O875" i="13"/>
  <c r="N876" i="13"/>
  <c r="O876" i="13"/>
  <c r="N877" i="13"/>
  <c r="O877" i="13"/>
  <c r="N878" i="13"/>
  <c r="O878" i="13"/>
  <c r="N879" i="13"/>
  <c r="O879" i="13"/>
  <c r="N880" i="13"/>
  <c r="O880" i="13"/>
  <c r="N881" i="13"/>
  <c r="O881" i="13"/>
  <c r="N882" i="13"/>
  <c r="O882" i="13"/>
  <c r="N883" i="13"/>
  <c r="O883" i="13"/>
  <c r="N884" i="13"/>
  <c r="O884" i="13"/>
  <c r="N885" i="13"/>
  <c r="O885" i="13"/>
  <c r="N886" i="13"/>
  <c r="O886" i="13"/>
  <c r="N887" i="13"/>
  <c r="O887" i="13"/>
  <c r="N888" i="13"/>
  <c r="O888" i="13"/>
  <c r="N889" i="13"/>
  <c r="O889" i="13"/>
  <c r="N890" i="13"/>
  <c r="O890" i="13"/>
  <c r="N891" i="13"/>
  <c r="O891" i="13"/>
  <c r="N892" i="13"/>
  <c r="O892" i="13"/>
  <c r="N893" i="13"/>
  <c r="O893" i="13"/>
  <c r="N894" i="13"/>
  <c r="O894" i="13"/>
  <c r="N895" i="13"/>
  <c r="O895" i="13"/>
  <c r="N896" i="13"/>
  <c r="O896" i="13"/>
  <c r="N897" i="13"/>
  <c r="O897" i="13"/>
  <c r="N898" i="13"/>
  <c r="O898" i="13"/>
  <c r="N899" i="13"/>
  <c r="O899" i="13"/>
  <c r="N900" i="13"/>
  <c r="O900" i="13"/>
  <c r="N901" i="13"/>
  <c r="O901" i="13"/>
  <c r="N902" i="13"/>
  <c r="O902" i="13"/>
  <c r="N903" i="13"/>
  <c r="O903" i="13"/>
  <c r="N904" i="13"/>
  <c r="O904" i="13"/>
  <c r="N905" i="13"/>
  <c r="O905" i="13"/>
  <c r="N906" i="13"/>
  <c r="O906" i="13"/>
  <c r="N907" i="13"/>
  <c r="O907" i="13"/>
  <c r="N908" i="13"/>
  <c r="O908" i="13"/>
  <c r="N909" i="13"/>
  <c r="O909" i="13"/>
  <c r="N910" i="13"/>
  <c r="O910" i="13"/>
  <c r="N911" i="13"/>
  <c r="O911" i="13"/>
  <c r="N912" i="13"/>
  <c r="O912" i="13"/>
  <c r="N913" i="13"/>
  <c r="O913" i="13"/>
  <c r="N914" i="13"/>
  <c r="O914" i="13"/>
  <c r="N915" i="13"/>
  <c r="O915" i="13"/>
  <c r="N916" i="13"/>
  <c r="O916" i="13"/>
  <c r="N917" i="13"/>
  <c r="O917" i="13"/>
  <c r="N918" i="13"/>
  <c r="O918" i="13"/>
  <c r="N919" i="13"/>
  <c r="O919" i="13"/>
  <c r="N920" i="13"/>
  <c r="O920" i="13"/>
  <c r="N921" i="13"/>
  <c r="O921" i="13"/>
  <c r="N922" i="13"/>
  <c r="O922" i="13"/>
  <c r="N923" i="13"/>
  <c r="O923" i="13"/>
  <c r="N924" i="13"/>
  <c r="O924" i="13"/>
  <c r="N925" i="13"/>
  <c r="O925" i="13"/>
  <c r="N926" i="13"/>
  <c r="O926" i="13"/>
  <c r="N927" i="13"/>
  <c r="O927" i="13"/>
  <c r="N928" i="13"/>
  <c r="O928" i="13"/>
  <c r="N929" i="13"/>
  <c r="O929" i="13"/>
  <c r="N930" i="13"/>
  <c r="O930" i="13"/>
  <c r="N931" i="13"/>
  <c r="O931" i="13"/>
  <c r="N932" i="13"/>
  <c r="O932" i="13"/>
  <c r="N933" i="13"/>
  <c r="O933" i="13"/>
  <c r="N934" i="13"/>
  <c r="O934" i="13"/>
  <c r="N935" i="13"/>
  <c r="O935" i="13"/>
  <c r="N936" i="13"/>
  <c r="O936" i="13"/>
  <c r="N937" i="13"/>
  <c r="O937" i="13"/>
  <c r="N938" i="13"/>
  <c r="O938" i="13"/>
  <c r="N939" i="13"/>
  <c r="O939" i="13"/>
  <c r="N940" i="13"/>
  <c r="O940" i="13"/>
  <c r="N941" i="13"/>
  <c r="O941" i="13"/>
  <c r="N942" i="13"/>
  <c r="O942" i="13"/>
  <c r="N943" i="13"/>
  <c r="O943" i="13"/>
  <c r="N944" i="13"/>
  <c r="O944" i="13"/>
  <c r="N945" i="13"/>
  <c r="O945" i="13"/>
  <c r="N946" i="13"/>
  <c r="O946" i="13"/>
  <c r="N947" i="13"/>
  <c r="O947" i="13"/>
  <c r="N948" i="13"/>
  <c r="O948" i="13"/>
  <c r="N949" i="13"/>
  <c r="O949" i="13"/>
  <c r="N950" i="13"/>
  <c r="O950" i="13"/>
  <c r="N951" i="13"/>
  <c r="O951" i="13"/>
  <c r="N952" i="13"/>
  <c r="O952" i="13"/>
  <c r="N953" i="13"/>
  <c r="O953" i="13"/>
  <c r="N954" i="13"/>
  <c r="O954" i="13"/>
  <c r="N955" i="13"/>
  <c r="O955" i="13"/>
  <c r="N956" i="13"/>
  <c r="O956" i="13"/>
  <c r="N957" i="13"/>
  <c r="O957" i="13"/>
  <c r="N958" i="13"/>
  <c r="O958" i="13"/>
  <c r="N959" i="13"/>
  <c r="O959" i="13"/>
  <c r="N960" i="13"/>
  <c r="O960" i="13"/>
  <c r="N961" i="13"/>
  <c r="O961" i="13"/>
  <c r="N962" i="13"/>
  <c r="O962" i="13"/>
  <c r="N963" i="13"/>
  <c r="O963" i="13"/>
  <c r="N964" i="13"/>
  <c r="O964" i="13"/>
  <c r="N965" i="13"/>
  <c r="O965" i="13"/>
  <c r="N966" i="13"/>
  <c r="O966" i="13"/>
  <c r="N967" i="13"/>
  <c r="O967" i="13"/>
  <c r="N968" i="13"/>
  <c r="O968" i="13"/>
  <c r="N969" i="13"/>
  <c r="O969" i="13"/>
  <c r="N970" i="13"/>
  <c r="O970" i="13"/>
  <c r="N971" i="13"/>
  <c r="O971" i="13"/>
  <c r="N972" i="13"/>
  <c r="O972" i="13"/>
  <c r="N973" i="13"/>
  <c r="O973" i="13"/>
  <c r="N974" i="13"/>
  <c r="O974" i="13"/>
  <c r="N975" i="13"/>
  <c r="O975" i="13"/>
  <c r="N976" i="13"/>
  <c r="O976" i="13"/>
  <c r="N977" i="13"/>
  <c r="O977" i="13"/>
  <c r="N978" i="13"/>
  <c r="O978" i="13"/>
  <c r="N979" i="13"/>
  <c r="O979" i="13"/>
  <c r="N980" i="13"/>
  <c r="O980" i="13"/>
  <c r="N981" i="13"/>
  <c r="O981" i="13"/>
  <c r="N982" i="13"/>
  <c r="O982" i="13"/>
  <c r="N983" i="13"/>
  <c r="O983" i="13"/>
  <c r="N984" i="13"/>
  <c r="O984" i="13"/>
  <c r="N985" i="13"/>
  <c r="O985" i="13"/>
  <c r="N986" i="13"/>
  <c r="O986" i="13"/>
  <c r="N987" i="13"/>
  <c r="O987" i="13"/>
  <c r="N988" i="13"/>
  <c r="O988" i="13"/>
  <c r="N989" i="13"/>
  <c r="O989" i="13"/>
  <c r="N990" i="13"/>
  <c r="O990" i="13"/>
  <c r="N991" i="13"/>
  <c r="O991" i="13"/>
  <c r="N992" i="13"/>
  <c r="O992" i="13"/>
  <c r="N993" i="13"/>
  <c r="O993" i="13"/>
  <c r="N994" i="13"/>
  <c r="O994" i="13"/>
  <c r="N995" i="13"/>
  <c r="O995" i="13"/>
  <c r="N996" i="13"/>
  <c r="O996" i="13"/>
  <c r="N997" i="13"/>
  <c r="O997" i="13"/>
  <c r="N998" i="13"/>
  <c r="O998" i="13"/>
  <c r="N999" i="13"/>
  <c r="O999" i="13"/>
  <c r="N1000" i="13"/>
  <c r="O1000" i="13"/>
  <c r="N1001" i="13"/>
  <c r="O1001" i="13"/>
  <c r="N1002" i="13"/>
  <c r="O1002" i="13"/>
  <c r="N1003" i="13"/>
  <c r="O1003" i="13"/>
  <c r="N1004" i="13"/>
  <c r="O1004" i="13"/>
  <c r="N1005" i="13"/>
  <c r="O1005" i="13"/>
  <c r="N1006" i="13"/>
  <c r="O1006" i="13"/>
  <c r="N1007" i="13"/>
  <c r="O1007" i="13"/>
  <c r="N1008" i="13"/>
  <c r="O1008" i="13"/>
  <c r="N1009" i="13"/>
  <c r="O1009" i="13"/>
  <c r="N1010" i="13"/>
  <c r="O1010" i="13"/>
  <c r="N1011" i="13"/>
  <c r="O1011" i="13"/>
  <c r="N1012" i="13"/>
  <c r="O1012" i="13"/>
  <c r="N1013" i="13"/>
  <c r="O1013" i="13"/>
  <c r="N1014" i="13"/>
  <c r="O1014" i="13"/>
  <c r="N1015" i="13"/>
  <c r="O1015" i="13"/>
  <c r="N1016" i="13"/>
  <c r="O1016" i="13"/>
  <c r="N1017" i="13"/>
  <c r="O1017" i="13"/>
  <c r="N1018" i="13"/>
  <c r="O1018" i="13"/>
  <c r="N1019" i="13"/>
  <c r="O1019" i="13"/>
  <c r="N1020" i="13"/>
  <c r="O1020" i="13"/>
  <c r="N1021" i="13"/>
  <c r="O1021" i="13"/>
  <c r="N1022" i="13"/>
  <c r="O1022" i="13"/>
  <c r="N1023" i="13"/>
  <c r="O1023" i="13"/>
  <c r="N1024" i="13"/>
  <c r="O1024" i="13"/>
  <c r="N1025" i="13"/>
  <c r="O1025" i="13"/>
  <c r="N1026" i="13"/>
  <c r="O1026" i="13"/>
  <c r="N1027" i="13"/>
  <c r="O1027" i="13"/>
  <c r="N1028" i="13"/>
  <c r="O1028" i="13"/>
  <c r="N1029" i="13"/>
  <c r="O1029" i="13"/>
  <c r="N1030" i="13"/>
  <c r="O1030" i="13"/>
  <c r="N1031" i="13"/>
  <c r="O1031" i="13"/>
  <c r="N1032" i="13"/>
  <c r="O1032" i="13"/>
  <c r="N1033" i="13"/>
  <c r="O1033" i="13"/>
  <c r="N1034" i="13"/>
  <c r="O1034" i="13"/>
  <c r="N1035" i="13"/>
  <c r="O1035" i="13"/>
  <c r="N1036" i="13"/>
  <c r="O1036" i="13"/>
  <c r="N1037" i="13"/>
  <c r="O1037" i="13"/>
  <c r="N1038" i="13"/>
  <c r="O1038" i="13"/>
  <c r="N1039" i="13"/>
  <c r="O1039" i="13"/>
  <c r="N1040" i="13"/>
  <c r="O1040" i="13"/>
  <c r="N1041" i="13"/>
  <c r="O1041" i="13"/>
  <c r="N1042" i="13"/>
  <c r="O1042" i="13"/>
  <c r="N1043" i="13"/>
  <c r="O1043" i="13"/>
  <c r="N1044" i="13"/>
  <c r="O1044" i="13"/>
  <c r="N1045" i="13"/>
  <c r="O1045" i="13"/>
  <c r="N1046" i="13"/>
  <c r="O1046" i="13"/>
  <c r="N1047" i="13"/>
  <c r="O1047" i="13"/>
  <c r="N1048" i="13"/>
  <c r="O1048" i="13"/>
  <c r="N1049" i="13"/>
  <c r="O1049" i="13"/>
  <c r="N1050" i="13"/>
  <c r="O1050" i="13"/>
  <c r="N1051" i="13"/>
  <c r="O1051" i="13"/>
  <c r="N1052" i="13"/>
  <c r="O1052" i="13"/>
  <c r="N1053" i="13"/>
  <c r="O1053" i="13"/>
  <c r="N1054" i="13"/>
  <c r="O1054" i="13"/>
  <c r="N1055" i="13"/>
  <c r="O1055" i="13"/>
  <c r="N1056" i="13"/>
  <c r="O1056" i="13"/>
  <c r="N1057" i="13"/>
  <c r="O1057" i="13"/>
  <c r="N1058" i="13"/>
  <c r="O1058" i="13"/>
  <c r="N1059" i="13"/>
  <c r="O1059" i="13"/>
  <c r="N1060" i="13"/>
  <c r="O1060" i="13"/>
  <c r="N1061" i="13"/>
  <c r="O1061" i="13"/>
  <c r="N1062" i="13"/>
  <c r="O1062" i="13"/>
  <c r="N1063" i="13"/>
  <c r="O1063" i="13"/>
  <c r="N1064" i="13"/>
  <c r="O1064" i="13"/>
  <c r="N1065" i="13"/>
  <c r="O1065" i="13"/>
  <c r="N1066" i="13"/>
  <c r="O1066" i="13"/>
  <c r="N1067" i="13"/>
  <c r="O1067" i="13"/>
  <c r="N1068" i="13"/>
  <c r="O1068" i="13"/>
  <c r="N1069" i="13"/>
  <c r="O1069" i="13"/>
  <c r="N1070" i="13"/>
  <c r="O1070" i="13"/>
  <c r="N1071" i="13"/>
  <c r="O1071" i="13"/>
  <c r="N1072" i="13"/>
  <c r="O1072" i="13"/>
  <c r="N1073" i="13"/>
  <c r="O1073" i="13"/>
  <c r="N1074" i="13"/>
  <c r="O1074" i="13"/>
  <c r="N1075" i="13"/>
  <c r="O1075" i="13"/>
  <c r="N1076" i="13"/>
  <c r="O1076" i="13"/>
  <c r="N1077" i="13"/>
  <c r="O1077" i="13"/>
  <c r="N1078" i="13"/>
  <c r="O1078" i="13"/>
  <c r="N1079" i="13"/>
  <c r="O1079" i="13"/>
  <c r="N1080" i="13"/>
  <c r="O1080" i="13"/>
  <c r="N1081" i="13"/>
  <c r="O1081" i="13"/>
  <c r="N1082" i="13"/>
  <c r="O1082" i="13"/>
  <c r="N1083" i="13"/>
  <c r="O1083" i="13"/>
  <c r="N1084" i="13"/>
  <c r="O1084" i="13"/>
  <c r="N1085" i="13"/>
  <c r="O1085" i="13"/>
  <c r="N1086" i="13"/>
  <c r="O1086" i="13"/>
  <c r="N1087" i="13"/>
  <c r="O1087" i="13"/>
  <c r="N1088" i="13"/>
  <c r="O1088" i="13"/>
  <c r="N1089" i="13"/>
  <c r="O1089" i="13"/>
  <c r="N1090" i="13"/>
  <c r="O1090" i="13"/>
  <c r="N1091" i="13"/>
  <c r="O1091" i="13"/>
  <c r="N1092" i="13"/>
  <c r="O1092" i="13"/>
  <c r="N1093" i="13"/>
  <c r="O1093" i="13"/>
  <c r="N1094" i="13"/>
  <c r="O1094" i="13"/>
  <c r="N1095" i="13"/>
  <c r="O1095" i="13"/>
  <c r="N1096" i="13"/>
  <c r="O1096" i="13"/>
  <c r="N1097" i="13"/>
  <c r="O1097" i="13"/>
  <c r="N1098" i="13"/>
  <c r="O1098" i="13"/>
  <c r="N1099" i="13"/>
  <c r="O1099" i="13"/>
  <c r="N1100" i="13"/>
  <c r="O1100" i="13"/>
  <c r="N1101" i="13"/>
  <c r="O1101" i="13"/>
  <c r="N1102" i="13"/>
  <c r="O1102" i="13"/>
  <c r="N1103" i="13"/>
  <c r="O1103" i="13"/>
  <c r="N1104" i="13"/>
  <c r="O1104" i="13"/>
  <c r="N1105" i="13"/>
  <c r="O1105" i="13"/>
  <c r="N1106" i="13"/>
  <c r="O1106" i="13"/>
  <c r="N1107" i="13"/>
  <c r="O1107" i="13"/>
  <c r="N1108" i="13"/>
  <c r="O1108" i="13"/>
  <c r="N1109" i="13"/>
  <c r="O1109" i="13"/>
  <c r="N1110" i="13"/>
  <c r="O1110" i="13"/>
  <c r="N1111" i="13"/>
  <c r="O1111" i="13"/>
  <c r="N1112" i="13"/>
  <c r="O1112" i="13"/>
  <c r="N1113" i="13"/>
  <c r="O1113" i="13"/>
  <c r="N1114" i="13"/>
  <c r="O1114" i="13"/>
  <c r="N1115" i="13"/>
  <c r="O1115" i="13"/>
  <c r="N1116" i="13"/>
  <c r="O1116" i="13"/>
  <c r="N1117" i="13"/>
  <c r="O1117" i="13"/>
  <c r="N1118" i="13"/>
  <c r="O1118" i="13"/>
  <c r="N1119" i="13"/>
  <c r="O1119" i="13"/>
  <c r="N1120" i="13"/>
  <c r="O1120" i="13"/>
  <c r="N1121" i="13"/>
  <c r="O1121" i="13"/>
  <c r="N1122" i="13"/>
  <c r="O1122" i="13"/>
  <c r="N1123" i="13"/>
  <c r="O1123" i="13"/>
  <c r="N1124" i="13"/>
  <c r="O1124" i="13"/>
  <c r="N1125" i="13"/>
  <c r="O1125" i="13"/>
  <c r="N1126" i="13"/>
  <c r="O1126" i="13"/>
  <c r="N1127" i="13"/>
  <c r="O1127" i="13"/>
  <c r="N1128" i="13"/>
  <c r="O1128" i="13"/>
  <c r="N1129" i="13"/>
  <c r="O1129" i="13"/>
  <c r="N1130" i="13"/>
  <c r="O1130" i="13"/>
  <c r="N1131" i="13"/>
  <c r="O1131" i="13"/>
  <c r="N1132" i="13"/>
  <c r="O1132" i="13"/>
  <c r="N1133" i="13"/>
  <c r="O1133" i="13"/>
  <c r="N1134" i="13"/>
  <c r="O1134" i="13"/>
  <c r="N1135" i="13"/>
  <c r="O1135" i="13"/>
  <c r="N1136" i="13"/>
  <c r="O1136" i="13"/>
  <c r="N1137" i="13"/>
  <c r="O1137" i="13"/>
  <c r="N1138" i="13"/>
  <c r="O1138" i="13"/>
  <c r="N1139" i="13"/>
  <c r="O1139" i="13"/>
  <c r="N1140" i="13"/>
  <c r="O1140" i="13"/>
  <c r="N1141" i="13"/>
  <c r="O1141" i="13"/>
  <c r="N1142" i="13"/>
  <c r="O1142" i="13"/>
  <c r="N1143" i="13"/>
  <c r="O1143" i="13"/>
  <c r="N1144" i="13"/>
  <c r="O1144" i="13"/>
  <c r="N1145" i="13"/>
  <c r="O1145" i="13"/>
  <c r="N1146" i="13"/>
  <c r="O1146" i="13"/>
  <c r="N1147" i="13"/>
  <c r="O1147" i="13"/>
  <c r="N1148" i="13"/>
  <c r="O1148" i="13"/>
  <c r="N1149" i="13"/>
  <c r="O1149" i="13"/>
  <c r="N1150" i="13"/>
  <c r="O1150" i="13"/>
  <c r="N1151" i="13"/>
  <c r="O1151" i="13"/>
  <c r="N1152" i="13"/>
  <c r="O1152" i="13"/>
  <c r="N1153" i="13"/>
  <c r="O1153" i="13"/>
  <c r="N1154" i="13"/>
  <c r="O1154" i="13"/>
  <c r="N1155" i="13"/>
  <c r="O1155" i="13"/>
  <c r="N1156" i="13"/>
  <c r="O1156" i="13"/>
  <c r="N1157" i="13"/>
  <c r="O1157" i="13"/>
  <c r="N1158" i="13"/>
  <c r="O1158" i="13"/>
  <c r="N1159" i="13"/>
  <c r="O1159" i="13"/>
  <c r="N1160" i="13"/>
  <c r="O1160" i="13"/>
  <c r="N1161" i="13"/>
  <c r="O1161" i="13"/>
  <c r="N1162" i="13"/>
  <c r="O1162" i="13"/>
  <c r="N1163" i="13"/>
  <c r="O1163" i="13"/>
  <c r="N1164" i="13"/>
  <c r="O1164" i="13"/>
  <c r="N1165" i="13"/>
  <c r="O1165" i="13"/>
  <c r="N1166" i="13"/>
  <c r="O1166" i="13"/>
  <c r="N1167" i="13"/>
  <c r="O1167" i="13"/>
  <c r="N1168" i="13"/>
  <c r="O1168" i="13"/>
  <c r="N1169" i="13"/>
  <c r="O1169" i="13"/>
  <c r="N1170" i="13"/>
  <c r="O1170" i="13"/>
  <c r="N1171" i="13"/>
  <c r="O1171" i="13"/>
  <c r="N1172" i="13"/>
  <c r="O1172" i="13"/>
  <c r="N1173" i="13"/>
  <c r="O1173" i="13"/>
  <c r="N1174" i="13"/>
  <c r="O1174" i="13"/>
  <c r="N1175" i="13"/>
  <c r="O1175" i="13"/>
  <c r="N1176" i="13"/>
  <c r="O1176" i="13"/>
  <c r="N1177" i="13"/>
  <c r="O1177" i="13"/>
  <c r="N1178" i="13"/>
  <c r="O1178" i="13"/>
  <c r="N1179" i="13"/>
  <c r="O1179" i="13"/>
  <c r="N1180" i="13"/>
  <c r="O1180" i="13"/>
  <c r="N1181" i="13"/>
  <c r="O1181" i="13"/>
  <c r="N1182" i="13"/>
  <c r="O1182" i="13"/>
  <c r="N1183" i="13"/>
  <c r="O1183" i="13"/>
  <c r="N1184" i="13"/>
  <c r="O1184" i="13"/>
  <c r="N1185" i="13"/>
  <c r="O1185" i="13"/>
  <c r="N1186" i="13"/>
  <c r="O1186" i="13"/>
  <c r="N1187" i="13"/>
  <c r="O1187" i="13"/>
  <c r="N1188" i="13"/>
  <c r="O1188" i="13"/>
  <c r="N1189" i="13"/>
  <c r="O1189" i="13"/>
  <c r="N1190" i="13"/>
  <c r="O1190" i="13"/>
  <c r="N1191" i="13"/>
  <c r="O1191" i="13"/>
  <c r="N1192" i="13"/>
  <c r="O1192" i="13"/>
  <c r="N1193" i="13"/>
  <c r="O1193" i="13"/>
  <c r="N1194" i="13"/>
  <c r="O1194" i="13"/>
  <c r="N1195" i="13"/>
  <c r="O1195" i="13"/>
  <c r="N1196" i="13"/>
  <c r="O1196" i="13"/>
  <c r="N1197" i="13"/>
  <c r="O1197" i="13"/>
  <c r="N1198" i="13"/>
  <c r="O1198" i="13"/>
  <c r="N1199" i="13"/>
  <c r="O1199" i="13"/>
  <c r="N1200" i="13"/>
  <c r="O1200" i="13"/>
  <c r="N1201" i="13"/>
  <c r="O1201" i="13"/>
  <c r="N1202" i="13"/>
  <c r="O1202" i="13"/>
  <c r="N1203" i="13"/>
  <c r="O1203" i="13"/>
  <c r="N1204" i="13"/>
  <c r="O1204" i="13"/>
  <c r="N1205" i="13"/>
  <c r="O1205" i="13"/>
  <c r="N1206" i="13"/>
  <c r="O1206" i="13"/>
  <c r="N1207" i="13"/>
  <c r="O1207" i="13"/>
  <c r="N1208" i="13"/>
  <c r="O1208" i="13"/>
  <c r="N1209" i="13"/>
  <c r="O1209" i="13"/>
  <c r="N1210" i="13"/>
  <c r="O1210" i="13"/>
  <c r="N1211" i="13"/>
  <c r="O1211" i="13"/>
  <c r="N1212" i="13"/>
  <c r="O1212" i="13"/>
  <c r="N1213" i="13"/>
  <c r="O1213" i="13"/>
  <c r="N1214" i="13"/>
  <c r="O1214" i="13"/>
  <c r="N1215" i="13"/>
  <c r="O1215" i="13"/>
  <c r="N1216" i="13"/>
  <c r="O1216" i="13"/>
  <c r="N1217" i="13"/>
  <c r="O1217" i="13"/>
  <c r="N1218" i="13"/>
  <c r="O1218" i="13"/>
  <c r="N1219" i="13"/>
  <c r="O1219" i="13"/>
  <c r="N1220" i="13"/>
  <c r="O1220" i="13"/>
  <c r="N1221" i="13"/>
  <c r="O1221" i="13"/>
  <c r="N1222" i="13"/>
  <c r="O1222" i="13"/>
  <c r="N1223" i="13"/>
  <c r="O1223" i="13"/>
  <c r="N1224" i="13"/>
  <c r="O1224" i="13"/>
  <c r="N1225" i="13"/>
  <c r="O1225" i="13"/>
  <c r="N1226" i="13"/>
  <c r="O1226" i="13"/>
  <c r="N1227" i="13"/>
  <c r="O1227" i="13"/>
  <c r="N1228" i="13"/>
  <c r="O1228" i="13"/>
  <c r="N1229" i="13"/>
  <c r="O1229" i="13"/>
  <c r="N1230" i="13"/>
  <c r="O1230" i="13"/>
  <c r="N1231" i="13"/>
  <c r="O1231" i="13"/>
  <c r="N1232" i="13"/>
  <c r="O1232" i="13"/>
  <c r="N1233" i="13"/>
  <c r="O1233" i="13"/>
  <c r="N1234" i="13"/>
  <c r="O1234" i="13"/>
  <c r="N1235" i="13"/>
  <c r="O1235" i="13"/>
  <c r="N1236" i="13"/>
  <c r="O1236" i="13"/>
  <c r="N1237" i="13"/>
  <c r="O1237" i="13"/>
  <c r="N1238" i="13"/>
  <c r="O1238" i="13"/>
  <c r="N1239" i="13"/>
  <c r="O1239" i="13"/>
  <c r="N1240" i="13"/>
  <c r="O1240" i="13"/>
  <c r="N1241" i="13"/>
  <c r="O1241" i="13"/>
  <c r="N1242" i="13"/>
  <c r="O1242" i="13"/>
  <c r="N1243" i="13"/>
  <c r="O1243" i="13"/>
  <c r="N1244" i="13"/>
  <c r="O1244" i="13"/>
  <c r="N1245" i="13"/>
  <c r="O1245" i="13"/>
  <c r="N1246" i="13"/>
  <c r="O1246" i="13"/>
  <c r="N1247" i="13"/>
  <c r="O1247" i="13"/>
  <c r="N1248" i="13"/>
  <c r="O1248" i="13"/>
  <c r="N1249" i="13"/>
  <c r="O1249" i="13"/>
  <c r="N1250" i="13"/>
  <c r="O1250" i="13"/>
  <c r="N1251" i="13"/>
  <c r="O1251" i="13"/>
  <c r="N1252" i="13"/>
  <c r="O1252" i="13"/>
  <c r="N1253" i="13"/>
  <c r="O1253" i="13"/>
  <c r="N1254" i="13"/>
  <c r="O1254" i="13"/>
  <c r="N1255" i="13"/>
  <c r="O1255" i="13"/>
  <c r="N1256" i="13"/>
  <c r="O1256" i="13"/>
  <c r="N1257" i="13"/>
  <c r="O1257" i="13"/>
  <c r="N1258" i="13"/>
  <c r="O1258" i="13"/>
  <c r="N1259" i="13"/>
  <c r="O1259" i="13"/>
  <c r="N1260" i="13"/>
  <c r="O1260" i="13"/>
  <c r="N1261" i="13"/>
  <c r="O1261" i="13"/>
  <c r="N1262" i="13"/>
  <c r="O1262" i="13"/>
  <c r="N1263" i="13"/>
  <c r="O1263" i="13"/>
  <c r="N1264" i="13"/>
  <c r="O1264" i="13"/>
  <c r="N1265" i="13"/>
  <c r="O1265" i="13"/>
  <c r="N1266" i="13"/>
  <c r="O1266" i="13"/>
  <c r="N1267" i="13"/>
  <c r="O1267" i="13"/>
  <c r="N1268" i="13"/>
  <c r="O1268" i="13"/>
  <c r="N1269" i="13"/>
  <c r="O1269" i="13"/>
  <c r="N1270" i="13"/>
  <c r="O1270" i="13"/>
  <c r="N1271" i="13"/>
  <c r="O1271" i="13"/>
  <c r="N1272" i="13"/>
  <c r="O1272" i="13"/>
  <c r="N1273" i="13"/>
  <c r="O1273" i="13"/>
  <c r="N1274" i="13"/>
  <c r="O1274" i="13"/>
  <c r="N1275" i="13"/>
  <c r="O1275" i="13"/>
  <c r="N1276" i="13"/>
  <c r="O1276" i="13"/>
  <c r="N1277" i="13"/>
  <c r="O1277" i="13"/>
  <c r="N1278" i="13"/>
  <c r="O1278" i="13"/>
  <c r="N1279" i="13"/>
  <c r="O1279" i="13"/>
  <c r="N1280" i="13"/>
  <c r="O1280" i="13"/>
  <c r="N1281" i="13"/>
  <c r="O1281" i="13"/>
  <c r="N1282" i="13"/>
  <c r="O1282" i="13"/>
  <c r="N1283" i="13"/>
  <c r="O1283" i="13"/>
  <c r="N1284" i="13"/>
  <c r="O1284" i="13"/>
  <c r="N1285" i="13"/>
  <c r="O1285" i="13"/>
  <c r="N1286" i="13"/>
  <c r="O1286" i="13"/>
  <c r="N1287" i="13"/>
  <c r="O1287" i="13"/>
  <c r="N1288" i="13"/>
  <c r="O1288" i="13"/>
  <c r="N1289" i="13"/>
  <c r="O1289" i="13"/>
  <c r="N1290" i="13"/>
  <c r="O1290" i="13"/>
  <c r="N1291" i="13"/>
  <c r="O1291" i="13"/>
  <c r="N1292" i="13"/>
  <c r="O1292" i="13"/>
  <c r="N1293" i="13"/>
  <c r="O1293" i="13"/>
  <c r="N1294" i="13"/>
  <c r="O1294" i="13"/>
  <c r="N1295" i="13"/>
  <c r="O1295" i="13"/>
  <c r="N1296" i="13"/>
  <c r="O1296" i="13"/>
  <c r="N1297" i="13"/>
  <c r="O1297" i="13"/>
  <c r="N1298" i="13"/>
  <c r="O1298" i="13"/>
  <c r="N1299" i="13"/>
  <c r="O1299" i="13"/>
  <c r="N1300" i="13"/>
  <c r="O1300" i="13"/>
  <c r="N1301" i="13"/>
  <c r="O1301" i="13"/>
  <c r="N1302" i="13"/>
  <c r="O1302" i="13"/>
  <c r="N1303" i="13"/>
  <c r="O1303" i="13"/>
  <c r="N1304" i="13"/>
  <c r="O1304" i="13"/>
  <c r="N1305" i="13"/>
  <c r="O1305" i="13"/>
  <c r="N1306" i="13"/>
  <c r="O1306" i="13"/>
  <c r="N1307" i="13"/>
  <c r="O1307" i="13"/>
  <c r="N1308" i="13"/>
  <c r="O1308" i="13"/>
  <c r="N1309" i="13"/>
  <c r="O1309" i="13"/>
  <c r="N1310" i="13"/>
  <c r="O1310" i="13"/>
  <c r="N1311" i="13"/>
  <c r="O1311" i="13"/>
  <c r="N1312" i="13"/>
  <c r="O1312" i="13"/>
  <c r="N1313" i="13"/>
  <c r="O1313" i="13"/>
  <c r="N1314" i="13"/>
  <c r="O1314" i="13"/>
  <c r="N1315" i="13"/>
  <c r="O1315" i="13"/>
  <c r="N1316" i="13"/>
  <c r="O1316" i="13"/>
  <c r="N1317" i="13"/>
  <c r="O1317" i="13"/>
  <c r="N1318" i="13"/>
  <c r="O1318" i="13"/>
  <c r="N1319" i="13"/>
  <c r="O1319" i="13"/>
  <c r="N1320" i="13"/>
  <c r="O1320" i="13"/>
  <c r="N1321" i="13"/>
  <c r="O1321" i="13"/>
  <c r="N1322" i="13"/>
  <c r="O1322" i="13"/>
  <c r="N1323" i="13"/>
  <c r="O1323" i="13"/>
  <c r="N1324" i="13"/>
  <c r="O1324" i="13"/>
  <c r="N1325" i="13"/>
  <c r="O1325" i="13"/>
  <c r="N1326" i="13"/>
  <c r="O1326" i="13"/>
  <c r="N1327" i="13"/>
  <c r="O1327" i="13"/>
  <c r="N1328" i="13"/>
  <c r="O1328" i="13"/>
  <c r="N1329" i="13"/>
  <c r="O1329" i="13"/>
  <c r="N1330" i="13"/>
  <c r="O1330" i="13"/>
  <c r="N1331" i="13"/>
  <c r="O1331" i="13"/>
  <c r="N1332" i="13"/>
  <c r="O1332" i="13"/>
  <c r="N1333" i="13"/>
  <c r="O1333" i="13"/>
  <c r="N1334" i="13"/>
  <c r="O1334" i="13"/>
  <c r="N1335" i="13"/>
  <c r="O1335" i="13"/>
  <c r="N1336" i="13"/>
  <c r="O1336" i="13"/>
  <c r="N1337" i="13"/>
  <c r="O1337" i="13"/>
  <c r="N1338" i="13"/>
  <c r="O1338" i="13"/>
  <c r="N1339" i="13"/>
  <c r="O1339" i="13"/>
  <c r="N1340" i="13"/>
  <c r="O1340" i="13"/>
  <c r="N1341" i="13"/>
  <c r="O1341" i="13"/>
  <c r="N1342" i="13"/>
  <c r="O1342" i="13"/>
  <c r="N1343" i="13"/>
  <c r="O1343" i="13"/>
  <c r="N1344" i="13"/>
  <c r="O1344" i="13"/>
  <c r="N1345" i="13"/>
  <c r="O1345" i="13"/>
  <c r="N1346" i="13"/>
  <c r="O1346" i="13"/>
  <c r="N1347" i="13"/>
  <c r="O1347" i="13"/>
  <c r="N1348" i="13"/>
  <c r="O1348" i="13"/>
  <c r="N1349" i="13"/>
  <c r="O1349" i="13"/>
  <c r="N1350" i="13"/>
  <c r="O1350" i="13"/>
  <c r="N1351" i="13"/>
  <c r="O1351" i="13"/>
  <c r="N1352" i="13"/>
  <c r="O1352" i="13"/>
  <c r="N1353" i="13"/>
  <c r="O1353" i="13"/>
  <c r="N1354" i="13"/>
  <c r="O1354" i="13"/>
  <c r="N1355" i="13"/>
  <c r="O1355" i="13"/>
  <c r="N1356" i="13"/>
  <c r="O1356" i="13"/>
  <c r="N1357" i="13"/>
  <c r="O1357" i="13"/>
  <c r="N1358" i="13"/>
  <c r="O1358" i="13"/>
  <c r="N1359" i="13"/>
  <c r="O1359" i="13"/>
  <c r="N1360" i="13"/>
  <c r="O1360" i="13"/>
  <c r="N1361" i="13"/>
  <c r="O1361" i="13"/>
  <c r="N1362" i="13"/>
  <c r="O1362" i="13"/>
  <c r="N1363" i="13"/>
  <c r="O1363" i="13"/>
  <c r="N1364" i="13"/>
  <c r="O1364" i="13"/>
  <c r="N1365" i="13"/>
  <c r="O1365" i="13"/>
  <c r="N1366" i="13"/>
  <c r="O1366" i="13"/>
  <c r="N1367" i="13"/>
  <c r="O1367" i="13"/>
  <c r="N1368" i="13"/>
  <c r="O1368" i="13"/>
  <c r="N1369" i="13"/>
  <c r="O1369" i="13"/>
  <c r="N1370" i="13"/>
  <c r="O1370" i="13"/>
  <c r="N1371" i="13"/>
  <c r="O1371" i="13"/>
  <c r="N1372" i="13"/>
  <c r="O1372" i="13"/>
  <c r="N1373" i="13"/>
  <c r="O1373" i="13"/>
  <c r="N1374" i="13"/>
  <c r="O1374" i="13"/>
  <c r="N1375" i="13"/>
  <c r="O1375" i="13"/>
  <c r="N1376" i="13"/>
  <c r="O1376" i="13"/>
  <c r="N1377" i="13"/>
  <c r="O1377" i="13"/>
  <c r="N1378" i="13"/>
  <c r="O1378" i="13"/>
  <c r="N1379" i="13"/>
  <c r="O1379" i="13"/>
  <c r="N1380" i="13"/>
  <c r="O1380" i="13"/>
  <c r="N1381" i="13"/>
  <c r="O1381" i="13"/>
  <c r="N1382" i="13"/>
  <c r="O1382" i="13"/>
  <c r="N1383" i="13"/>
  <c r="O1383" i="13"/>
  <c r="N1384" i="13"/>
  <c r="O1384" i="13"/>
  <c r="N1385" i="13"/>
  <c r="O1385" i="13"/>
  <c r="N1386" i="13"/>
  <c r="O1386" i="13"/>
  <c r="N1387" i="13"/>
  <c r="O1387" i="13"/>
  <c r="N1388" i="13"/>
  <c r="O1388" i="13"/>
  <c r="N1389" i="13"/>
  <c r="O1389" i="13"/>
  <c r="N1390" i="13"/>
  <c r="O1390" i="13"/>
  <c r="N1391" i="13"/>
  <c r="O1391" i="13"/>
  <c r="N1392" i="13"/>
  <c r="O1392" i="13"/>
  <c r="N1393" i="13"/>
  <c r="O1393" i="13"/>
  <c r="N1394" i="13"/>
  <c r="O1394" i="13"/>
  <c r="N1395" i="13"/>
  <c r="O1395" i="13"/>
  <c r="N1396" i="13"/>
  <c r="O1396" i="13"/>
  <c r="N1397" i="13"/>
  <c r="O1397" i="13"/>
  <c r="N1398" i="13"/>
  <c r="O1398" i="13"/>
  <c r="N1399" i="13"/>
  <c r="O1399" i="13"/>
  <c r="N1400" i="13"/>
  <c r="O1400" i="13"/>
  <c r="N1401" i="13"/>
  <c r="O1401" i="13"/>
  <c r="N1402" i="13"/>
  <c r="O1402" i="13"/>
  <c r="N1403" i="13"/>
  <c r="O1403" i="13"/>
  <c r="N1404" i="13"/>
  <c r="O1404" i="13"/>
  <c r="N1405" i="13"/>
  <c r="O1405" i="13"/>
  <c r="N1406" i="13"/>
  <c r="O1406" i="13"/>
  <c r="N1407" i="13"/>
  <c r="O1407" i="13"/>
  <c r="N1408" i="13"/>
  <c r="O1408" i="13"/>
  <c r="N1409" i="13"/>
  <c r="O1409" i="13"/>
  <c r="N1410" i="13"/>
  <c r="O1410" i="13"/>
  <c r="N1411" i="13"/>
  <c r="O1411" i="13"/>
  <c r="N1412" i="13"/>
  <c r="O1412" i="13"/>
  <c r="N1413" i="13"/>
  <c r="O1413" i="13"/>
  <c r="N1414" i="13"/>
  <c r="O1414" i="13"/>
  <c r="N1415" i="13"/>
  <c r="O1415" i="13"/>
  <c r="N1416" i="13"/>
  <c r="O1416" i="13"/>
  <c r="N1417" i="13"/>
  <c r="O1417" i="13"/>
  <c r="N1418" i="13"/>
  <c r="O1418" i="13"/>
  <c r="N1419" i="13"/>
  <c r="O1419" i="13"/>
  <c r="N1420" i="13"/>
  <c r="O1420" i="13"/>
  <c r="N1421" i="13"/>
  <c r="O1421" i="13"/>
  <c r="N1422" i="13"/>
  <c r="O1422" i="13"/>
  <c r="N1423" i="13"/>
  <c r="O1423" i="13"/>
  <c r="N1424" i="13"/>
  <c r="O1424" i="13"/>
  <c r="N1425" i="13"/>
  <c r="O1425" i="13"/>
  <c r="N1426" i="13"/>
  <c r="O1426" i="13"/>
  <c r="N1427" i="13"/>
  <c r="O1427" i="13"/>
  <c r="N1428" i="13"/>
  <c r="O1428" i="13"/>
  <c r="N1429" i="13"/>
  <c r="O1429" i="13"/>
  <c r="N1430" i="13"/>
  <c r="O1430" i="13"/>
  <c r="N1431" i="13"/>
  <c r="O1431" i="13"/>
  <c r="N1432" i="13"/>
  <c r="O1432" i="13"/>
  <c r="N1433" i="13"/>
  <c r="O1433" i="13"/>
  <c r="N1434" i="13"/>
  <c r="O1434" i="13"/>
  <c r="N1435" i="13"/>
  <c r="O1435" i="13"/>
  <c r="N1436" i="13"/>
  <c r="O1436" i="13"/>
  <c r="N1437" i="13"/>
  <c r="O1437" i="13"/>
  <c r="N1438" i="13"/>
  <c r="O1438" i="13"/>
  <c r="N1439" i="13"/>
  <c r="O1439" i="13"/>
  <c r="N1440" i="13"/>
  <c r="O1440" i="13"/>
  <c r="N1441" i="13"/>
  <c r="O1441" i="13"/>
  <c r="N1442" i="13"/>
  <c r="O1442" i="13"/>
  <c r="N1443" i="13"/>
  <c r="O1443" i="13"/>
  <c r="N1444" i="13"/>
  <c r="O1444" i="13"/>
  <c r="N1445" i="13"/>
  <c r="O1445" i="13"/>
  <c r="N1446" i="13"/>
  <c r="O1446" i="13"/>
  <c r="N1447" i="13"/>
  <c r="O1447" i="13"/>
  <c r="N1448" i="13"/>
  <c r="O1448" i="13"/>
  <c r="N1449" i="13"/>
  <c r="O1449" i="13"/>
  <c r="N1450" i="13"/>
  <c r="O1450" i="13"/>
  <c r="N1451" i="13"/>
  <c r="O1451" i="13"/>
  <c r="N1452" i="13"/>
  <c r="O1452" i="13"/>
  <c r="N1453" i="13"/>
  <c r="O1453" i="13"/>
  <c r="N1454" i="13"/>
  <c r="O1454" i="13"/>
  <c r="N1455" i="13"/>
  <c r="O1455" i="13"/>
  <c r="N1456" i="13"/>
  <c r="O1456" i="13"/>
  <c r="N1457" i="13"/>
  <c r="O1457" i="13"/>
  <c r="N1458" i="13"/>
  <c r="O1458" i="13"/>
  <c r="N1459" i="13"/>
  <c r="O1459" i="13"/>
  <c r="N1460" i="13"/>
  <c r="O1460" i="13"/>
  <c r="N1461" i="13"/>
  <c r="O1461" i="13"/>
  <c r="N1462" i="13"/>
  <c r="O1462" i="13"/>
  <c r="N1463" i="13"/>
  <c r="O1463" i="13"/>
  <c r="N1464" i="13"/>
  <c r="O1464" i="13"/>
  <c r="N1465" i="13"/>
  <c r="O1465" i="13"/>
  <c r="N1466" i="13"/>
  <c r="O1466" i="13"/>
  <c r="N1467" i="13"/>
  <c r="O1467" i="13"/>
  <c r="N1468" i="13"/>
  <c r="O1468" i="13"/>
  <c r="N1469" i="13"/>
  <c r="O1469" i="13"/>
  <c r="N1470" i="13"/>
  <c r="O1470" i="13"/>
  <c r="N1471" i="13"/>
  <c r="O1471" i="13"/>
  <c r="N1472" i="13"/>
  <c r="O1472" i="13"/>
  <c r="N1473" i="13"/>
  <c r="O1473" i="13"/>
  <c r="N1474" i="13"/>
  <c r="O1474" i="13"/>
  <c r="N1475" i="13"/>
  <c r="O1475" i="13"/>
  <c r="N1476" i="13"/>
  <c r="O1476" i="13"/>
  <c r="N1477" i="13"/>
  <c r="O1477" i="13"/>
  <c r="N1478" i="13"/>
  <c r="O1478" i="13"/>
  <c r="N1479" i="13"/>
  <c r="O1479" i="13"/>
  <c r="N1480" i="13"/>
  <c r="O1480" i="13"/>
  <c r="N1481" i="13"/>
  <c r="O1481" i="13"/>
  <c r="N1482" i="13"/>
  <c r="O1482" i="13"/>
  <c r="N1483" i="13"/>
  <c r="O1483" i="13"/>
  <c r="N1484" i="13"/>
  <c r="O1484" i="13"/>
  <c r="N1485" i="13"/>
  <c r="O1485" i="13"/>
  <c r="N1486" i="13"/>
  <c r="O1486" i="13"/>
  <c r="N1487" i="13"/>
  <c r="O1487" i="13"/>
  <c r="N1488" i="13"/>
  <c r="O1488" i="13"/>
  <c r="N1489" i="13"/>
  <c r="O1489" i="13"/>
  <c r="N1490" i="13"/>
  <c r="O1490" i="13"/>
  <c r="N1491" i="13"/>
  <c r="O1491" i="13"/>
  <c r="N1492" i="13"/>
  <c r="O1492" i="13"/>
  <c r="N1493" i="13"/>
  <c r="O1493" i="13"/>
  <c r="N1494" i="13"/>
  <c r="O1494" i="13"/>
  <c r="N1495" i="13"/>
  <c r="O1495" i="13"/>
  <c r="N1496" i="13"/>
  <c r="O1496" i="13"/>
  <c r="N1497" i="13"/>
  <c r="O1497" i="13"/>
  <c r="N1498" i="13"/>
  <c r="O1498" i="13"/>
  <c r="N1499" i="13"/>
  <c r="O1499" i="13"/>
  <c r="N1500" i="13"/>
  <c r="O1500" i="13"/>
  <c r="N1501" i="13"/>
  <c r="O1501" i="13"/>
  <c r="N1502" i="13"/>
  <c r="O1502" i="13"/>
  <c r="N1503" i="13"/>
  <c r="O1503" i="13"/>
  <c r="N1504" i="13"/>
  <c r="O1504" i="13"/>
  <c r="N1505" i="13"/>
  <c r="O1505" i="13"/>
  <c r="N1506" i="13"/>
  <c r="O1506" i="13"/>
  <c r="N1507" i="13"/>
  <c r="O1507" i="13"/>
  <c r="N1508" i="13"/>
  <c r="O1508" i="13"/>
  <c r="N1509" i="13"/>
  <c r="O1509" i="13"/>
  <c r="N1510" i="13"/>
  <c r="O1510" i="13"/>
  <c r="N1511" i="13"/>
  <c r="O1511" i="13"/>
  <c r="N1512" i="13"/>
  <c r="O1512" i="13"/>
  <c r="N1513" i="13"/>
  <c r="O1513" i="13"/>
  <c r="N1514" i="13"/>
  <c r="O1514" i="13"/>
  <c r="N1515" i="13"/>
  <c r="O1515" i="13"/>
  <c r="N1516" i="13"/>
  <c r="O1516" i="13"/>
  <c r="N1517" i="13"/>
  <c r="O1517" i="13"/>
  <c r="N1518" i="13"/>
  <c r="O1518" i="13"/>
  <c r="N1519" i="13"/>
  <c r="O1519" i="13"/>
  <c r="N1520" i="13"/>
  <c r="O1520" i="13"/>
  <c r="N1521" i="13"/>
  <c r="O1521" i="13"/>
  <c r="N1522" i="13"/>
  <c r="O1522" i="13"/>
  <c r="N1523" i="13"/>
  <c r="O1523" i="13"/>
  <c r="N1524" i="13"/>
  <c r="O1524" i="13"/>
  <c r="N1525" i="13"/>
  <c r="O1525" i="13"/>
  <c r="N1526" i="13"/>
  <c r="O1526" i="13"/>
  <c r="I7" i="55"/>
  <c r="J7" i="55"/>
  <c r="I8" i="51"/>
  <c r="J8" i="51"/>
  <c r="I8" i="69"/>
  <c r="J8" i="69"/>
  <c r="I8" i="56"/>
  <c r="J8" i="56"/>
  <c r="I7" i="57"/>
  <c r="J7" i="57"/>
  <c r="I7" i="58"/>
  <c r="J7" i="58"/>
  <c r="I7" i="59"/>
  <c r="J7" i="59"/>
  <c r="I9" i="50"/>
  <c r="J9" i="50"/>
  <c r="I9" i="51"/>
  <c r="J9" i="51"/>
  <c r="I9" i="52"/>
  <c r="J9" i="52"/>
  <c r="I9" i="55"/>
  <c r="J9" i="55"/>
  <c r="I9" i="69"/>
  <c r="J9" i="69"/>
  <c r="I9" i="56"/>
  <c r="J9" i="56"/>
  <c r="I4" i="67"/>
  <c r="J4" i="67"/>
  <c r="I130" i="13"/>
  <c r="J130" i="13"/>
  <c r="I131" i="13"/>
  <c r="J131" i="13"/>
  <c r="I132" i="13"/>
  <c r="J132" i="13"/>
  <c r="I133" i="13"/>
  <c r="J133" i="13"/>
  <c r="I134" i="13"/>
  <c r="J134" i="13"/>
  <c r="I135" i="13"/>
  <c r="J135" i="13"/>
  <c r="I136" i="13"/>
  <c r="J136" i="13"/>
  <c r="I137" i="13"/>
  <c r="J137" i="13"/>
  <c r="I138" i="13"/>
  <c r="J138" i="13"/>
  <c r="I139" i="13"/>
  <c r="J139" i="13"/>
  <c r="I140" i="13"/>
  <c r="J140" i="13"/>
  <c r="I141" i="13"/>
  <c r="J141" i="13"/>
  <c r="I142" i="13"/>
  <c r="J142" i="13"/>
  <c r="I143" i="13"/>
  <c r="J143" i="13"/>
  <c r="I144" i="13"/>
  <c r="J144" i="13"/>
  <c r="I145" i="13"/>
  <c r="J145" i="13"/>
  <c r="I146" i="13"/>
  <c r="J146" i="13"/>
  <c r="I147" i="13"/>
  <c r="J147" i="13"/>
  <c r="I148" i="13"/>
  <c r="J148" i="13"/>
  <c r="I149" i="13"/>
  <c r="J149" i="13"/>
  <c r="I150" i="13"/>
  <c r="J150" i="13"/>
  <c r="I151" i="13"/>
  <c r="J151" i="13"/>
  <c r="I152" i="13"/>
  <c r="J152" i="13"/>
  <c r="I153" i="13"/>
  <c r="J153" i="13"/>
  <c r="I154" i="13"/>
  <c r="J154" i="13"/>
  <c r="I155" i="13"/>
  <c r="J155" i="13"/>
  <c r="I156" i="13"/>
  <c r="J156" i="13"/>
  <c r="I157" i="13"/>
  <c r="J157" i="13"/>
  <c r="I158" i="13"/>
  <c r="J158" i="13"/>
  <c r="I159" i="13"/>
  <c r="J159" i="13"/>
  <c r="I160" i="13"/>
  <c r="J160" i="13"/>
  <c r="I161" i="13"/>
  <c r="J161" i="13"/>
  <c r="I162" i="13"/>
  <c r="J162" i="13"/>
  <c r="I163" i="13"/>
  <c r="J163" i="13"/>
  <c r="I164" i="13"/>
  <c r="J164" i="13"/>
  <c r="I165" i="13"/>
  <c r="J165" i="13"/>
  <c r="I166" i="13"/>
  <c r="J166" i="13"/>
  <c r="I167" i="13"/>
  <c r="J167" i="13"/>
  <c r="I168" i="13"/>
  <c r="J168" i="13"/>
  <c r="I169" i="13"/>
  <c r="J169" i="13"/>
  <c r="I170" i="13"/>
  <c r="J170" i="13"/>
  <c r="I171" i="13"/>
  <c r="J171" i="13"/>
  <c r="I172" i="13"/>
  <c r="J172" i="13"/>
  <c r="I173" i="13"/>
  <c r="J173" i="13"/>
  <c r="I174" i="13"/>
  <c r="J174" i="13"/>
  <c r="I175" i="13"/>
  <c r="J175" i="13"/>
  <c r="I176" i="13"/>
  <c r="J176" i="13"/>
  <c r="I177" i="13"/>
  <c r="J177" i="13"/>
  <c r="I178" i="13"/>
  <c r="J178" i="13"/>
  <c r="I179" i="13"/>
  <c r="J179" i="13"/>
  <c r="I180" i="13"/>
  <c r="J180" i="13"/>
  <c r="I181" i="13"/>
  <c r="J181" i="13"/>
  <c r="I182" i="13"/>
  <c r="J182" i="13"/>
  <c r="I183" i="13"/>
  <c r="J183" i="13"/>
  <c r="I184" i="13"/>
  <c r="J184" i="13"/>
  <c r="I185" i="13"/>
  <c r="J185" i="13"/>
  <c r="I186" i="13"/>
  <c r="J186" i="13"/>
  <c r="I187" i="13"/>
  <c r="J187" i="13"/>
  <c r="I188" i="13"/>
  <c r="J188" i="13"/>
  <c r="I189" i="13"/>
  <c r="J189" i="13"/>
  <c r="I190" i="13"/>
  <c r="J190" i="13"/>
  <c r="I191" i="13"/>
  <c r="J191" i="13"/>
  <c r="I192" i="13"/>
  <c r="J192" i="13"/>
  <c r="I193" i="13"/>
  <c r="J193" i="13"/>
  <c r="I194" i="13"/>
  <c r="J194" i="13"/>
  <c r="I195" i="13"/>
  <c r="J195" i="13"/>
  <c r="I196" i="13"/>
  <c r="J196" i="13"/>
  <c r="I197" i="13"/>
  <c r="J197" i="13"/>
  <c r="I198" i="13"/>
  <c r="J198" i="13"/>
  <c r="I199" i="13"/>
  <c r="J199" i="13"/>
  <c r="I200" i="13"/>
  <c r="J200" i="13"/>
  <c r="I201" i="13"/>
  <c r="J201" i="13"/>
  <c r="I202" i="13"/>
  <c r="J202" i="13"/>
  <c r="I203" i="13"/>
  <c r="J203" i="13"/>
  <c r="I204" i="13"/>
  <c r="J204" i="13"/>
  <c r="I205" i="13"/>
  <c r="J205" i="13"/>
  <c r="I206" i="13"/>
  <c r="J206" i="13"/>
  <c r="I207" i="13"/>
  <c r="J207" i="13"/>
  <c r="I208" i="13"/>
  <c r="J208" i="13"/>
  <c r="I209" i="13"/>
  <c r="J209" i="13"/>
  <c r="I210" i="13"/>
  <c r="J210" i="13"/>
  <c r="I211" i="13"/>
  <c r="J211" i="13"/>
  <c r="I212" i="13"/>
  <c r="J212" i="13"/>
  <c r="I213" i="13"/>
  <c r="J213" i="13"/>
  <c r="I214" i="13"/>
  <c r="J214" i="13"/>
  <c r="I215" i="13"/>
  <c r="J215" i="13"/>
  <c r="I216" i="13"/>
  <c r="J216" i="13"/>
  <c r="I217" i="13"/>
  <c r="J217" i="13"/>
  <c r="I218" i="13"/>
  <c r="J218" i="13"/>
  <c r="I219" i="13"/>
  <c r="J219" i="13"/>
  <c r="I220" i="13"/>
  <c r="J220" i="13"/>
  <c r="I221" i="13"/>
  <c r="J221" i="13"/>
  <c r="I222" i="13"/>
  <c r="J222" i="13"/>
  <c r="I223" i="13"/>
  <c r="J223" i="13"/>
  <c r="I224" i="13"/>
  <c r="J224" i="13"/>
  <c r="I225" i="13"/>
  <c r="J225" i="13"/>
  <c r="I226" i="13"/>
  <c r="J226" i="13"/>
  <c r="I227" i="13"/>
  <c r="J227" i="13"/>
  <c r="I228" i="13"/>
  <c r="J228" i="13"/>
  <c r="I229" i="13"/>
  <c r="J229" i="13"/>
  <c r="I230" i="13"/>
  <c r="J230" i="13"/>
  <c r="I231" i="13"/>
  <c r="J231" i="13"/>
  <c r="I232" i="13"/>
  <c r="J232" i="13"/>
  <c r="I233" i="13"/>
  <c r="J233" i="13"/>
  <c r="I234" i="13"/>
  <c r="J234" i="13"/>
  <c r="I235" i="13"/>
  <c r="J235" i="13"/>
  <c r="I236" i="13"/>
  <c r="J236" i="13"/>
  <c r="I237" i="13"/>
  <c r="J237" i="13"/>
  <c r="I238" i="13"/>
  <c r="J238" i="13"/>
  <c r="I239" i="13"/>
  <c r="J239" i="13"/>
  <c r="I240" i="13"/>
  <c r="J240" i="13"/>
  <c r="I241" i="13"/>
  <c r="J241" i="13"/>
  <c r="I242" i="13"/>
  <c r="J242" i="13"/>
  <c r="I243" i="13"/>
  <c r="J243" i="13"/>
  <c r="I244" i="13"/>
  <c r="J244" i="13"/>
  <c r="I245" i="13"/>
  <c r="J245" i="13"/>
  <c r="I246" i="13"/>
  <c r="J246" i="13"/>
  <c r="I247" i="13"/>
  <c r="J247" i="13"/>
  <c r="I248" i="13"/>
  <c r="J248" i="13"/>
  <c r="I249" i="13"/>
  <c r="J249" i="13"/>
  <c r="I250" i="13"/>
  <c r="J250" i="13"/>
  <c r="I251" i="13"/>
  <c r="J251" i="13"/>
  <c r="I252" i="13"/>
  <c r="J252" i="13"/>
  <c r="I253" i="13"/>
  <c r="J253" i="13"/>
  <c r="I254" i="13"/>
  <c r="J254" i="13"/>
  <c r="I255" i="13"/>
  <c r="J255" i="13"/>
  <c r="I256" i="13"/>
  <c r="J256" i="13"/>
  <c r="I257" i="13"/>
  <c r="J257" i="13"/>
  <c r="I258" i="13"/>
  <c r="J258" i="13"/>
  <c r="I259" i="13"/>
  <c r="J259" i="13"/>
  <c r="I260" i="13"/>
  <c r="J260" i="13"/>
  <c r="I261" i="13"/>
  <c r="J261" i="13"/>
  <c r="I262" i="13"/>
  <c r="J262" i="13"/>
  <c r="I263" i="13"/>
  <c r="J263" i="13"/>
  <c r="I264" i="13"/>
  <c r="J264" i="13"/>
  <c r="I265" i="13"/>
  <c r="J265" i="13"/>
  <c r="I266" i="13"/>
  <c r="J266" i="13"/>
  <c r="I267" i="13"/>
  <c r="J267" i="13"/>
  <c r="I268" i="13"/>
  <c r="J268" i="13"/>
  <c r="I269" i="13"/>
  <c r="J269" i="13"/>
  <c r="I270" i="13"/>
  <c r="J270" i="13"/>
  <c r="I271" i="13"/>
  <c r="J271" i="13"/>
  <c r="I272" i="13"/>
  <c r="J272" i="13"/>
  <c r="I273" i="13"/>
  <c r="J273" i="13"/>
  <c r="I274" i="13"/>
  <c r="J274" i="13"/>
  <c r="I275" i="13"/>
  <c r="J275" i="13"/>
  <c r="I276" i="13"/>
  <c r="J276" i="13"/>
  <c r="I277" i="13"/>
  <c r="J277" i="13"/>
  <c r="I278" i="13"/>
  <c r="J278" i="13"/>
  <c r="I279" i="13"/>
  <c r="J279" i="13"/>
  <c r="I280" i="13"/>
  <c r="J280" i="13"/>
  <c r="I281" i="13"/>
  <c r="J281" i="13"/>
  <c r="I282" i="13"/>
  <c r="J282" i="13"/>
  <c r="I283" i="13"/>
  <c r="J283" i="13"/>
  <c r="I284" i="13"/>
  <c r="J284" i="13"/>
  <c r="I285" i="13"/>
  <c r="J285" i="13"/>
  <c r="I286" i="13"/>
  <c r="J286" i="13"/>
  <c r="I287" i="13"/>
  <c r="J287" i="13"/>
  <c r="I288" i="13"/>
  <c r="J288" i="13"/>
  <c r="I289" i="13"/>
  <c r="J289" i="13"/>
  <c r="I290" i="13"/>
  <c r="J290" i="13"/>
  <c r="I291" i="13"/>
  <c r="J291" i="13"/>
  <c r="I292" i="13"/>
  <c r="J292" i="13"/>
  <c r="I293" i="13"/>
  <c r="J293" i="13"/>
  <c r="I294" i="13"/>
  <c r="J294" i="13"/>
  <c r="I295" i="13"/>
  <c r="J295" i="13"/>
  <c r="I296" i="13"/>
  <c r="J296" i="13"/>
  <c r="I297" i="13"/>
  <c r="J297" i="13"/>
  <c r="I298" i="13"/>
  <c r="J298" i="13"/>
  <c r="I299" i="13"/>
  <c r="J299" i="13"/>
  <c r="I300" i="13"/>
  <c r="J300" i="13"/>
  <c r="I301" i="13"/>
  <c r="J301" i="13"/>
  <c r="I302" i="13"/>
  <c r="J302" i="13"/>
  <c r="I303" i="13"/>
  <c r="J303" i="13"/>
  <c r="I304" i="13"/>
  <c r="J304" i="13"/>
  <c r="I305" i="13"/>
  <c r="J305" i="13"/>
  <c r="I306" i="13"/>
  <c r="J306" i="13"/>
  <c r="I307" i="13"/>
  <c r="J307" i="13"/>
  <c r="I308" i="13"/>
  <c r="J308" i="13"/>
  <c r="I309" i="13"/>
  <c r="J309" i="13"/>
  <c r="I310" i="13"/>
  <c r="J310" i="13"/>
  <c r="I311" i="13"/>
  <c r="J311" i="13"/>
  <c r="I312" i="13"/>
  <c r="J312" i="13"/>
  <c r="I313" i="13"/>
  <c r="J313" i="13"/>
  <c r="I314" i="13"/>
  <c r="J314" i="13"/>
  <c r="I315" i="13"/>
  <c r="J315" i="13"/>
  <c r="I316" i="13"/>
  <c r="J316" i="13"/>
  <c r="I317" i="13"/>
  <c r="J317" i="13"/>
  <c r="I318" i="13"/>
  <c r="J318" i="13"/>
  <c r="I319" i="13"/>
  <c r="J319" i="13"/>
  <c r="I320" i="13"/>
  <c r="J320" i="13"/>
  <c r="I321" i="13"/>
  <c r="J321" i="13"/>
  <c r="I322" i="13"/>
  <c r="J322" i="13"/>
  <c r="I323" i="13"/>
  <c r="J323" i="13"/>
  <c r="I324" i="13"/>
  <c r="J324" i="13"/>
  <c r="I325" i="13"/>
  <c r="J325" i="13"/>
  <c r="I326" i="13"/>
  <c r="J326" i="13"/>
  <c r="I327" i="13"/>
  <c r="J327" i="13"/>
  <c r="I328" i="13"/>
  <c r="J328" i="13"/>
  <c r="I329" i="13"/>
  <c r="J329" i="13"/>
  <c r="I330" i="13"/>
  <c r="J330" i="13"/>
  <c r="I331" i="13"/>
  <c r="J331" i="13"/>
  <c r="I332" i="13"/>
  <c r="J332" i="13"/>
  <c r="I333" i="13"/>
  <c r="J333" i="13"/>
  <c r="I334" i="13"/>
  <c r="J334" i="13"/>
  <c r="I335" i="13"/>
  <c r="J335" i="13"/>
  <c r="I336" i="13"/>
  <c r="J336" i="13"/>
  <c r="I337" i="13"/>
  <c r="J337" i="13"/>
  <c r="I338" i="13"/>
  <c r="J338" i="13"/>
  <c r="I339" i="13"/>
  <c r="J339" i="13"/>
  <c r="I340" i="13"/>
  <c r="J340" i="13"/>
  <c r="I341" i="13"/>
  <c r="J341" i="13"/>
  <c r="I342" i="13"/>
  <c r="J342" i="13"/>
  <c r="I343" i="13"/>
  <c r="J343" i="13"/>
  <c r="I344" i="13"/>
  <c r="J344" i="13"/>
  <c r="I345" i="13"/>
  <c r="J345" i="13"/>
  <c r="I346" i="13"/>
  <c r="J346" i="13"/>
  <c r="I347" i="13"/>
  <c r="J347" i="13"/>
  <c r="I348" i="13"/>
  <c r="J348" i="13"/>
  <c r="I349" i="13"/>
  <c r="J349" i="13"/>
  <c r="I350" i="13"/>
  <c r="J350" i="13"/>
  <c r="I351" i="13"/>
  <c r="J351" i="13"/>
  <c r="I352" i="13"/>
  <c r="J352" i="13"/>
  <c r="I353" i="13"/>
  <c r="J353" i="13"/>
  <c r="I354" i="13"/>
  <c r="J354" i="13"/>
  <c r="I355" i="13"/>
  <c r="J355" i="13"/>
  <c r="I356" i="13"/>
  <c r="J356" i="13"/>
  <c r="I357" i="13"/>
  <c r="J357" i="13"/>
  <c r="I358" i="13"/>
  <c r="J358" i="13"/>
  <c r="I359" i="13"/>
  <c r="J359" i="13"/>
  <c r="I360" i="13"/>
  <c r="J360" i="13"/>
  <c r="I361" i="13"/>
  <c r="J361" i="13"/>
  <c r="I362" i="13"/>
  <c r="J362" i="13"/>
  <c r="I363" i="13"/>
  <c r="J363" i="13"/>
  <c r="I364" i="13"/>
  <c r="J364" i="13"/>
  <c r="I365" i="13"/>
  <c r="J365" i="13"/>
  <c r="I366" i="13"/>
  <c r="J366" i="13"/>
  <c r="I367" i="13"/>
  <c r="J367" i="13"/>
  <c r="I368" i="13"/>
  <c r="J368" i="13"/>
  <c r="I369" i="13"/>
  <c r="J369" i="13"/>
  <c r="I370" i="13"/>
  <c r="J370" i="13"/>
  <c r="I371" i="13"/>
  <c r="J371" i="13"/>
  <c r="I372" i="13"/>
  <c r="J372" i="13"/>
  <c r="I373" i="13"/>
  <c r="J373" i="13"/>
  <c r="I374" i="13"/>
  <c r="J374" i="13"/>
  <c r="I375" i="13"/>
  <c r="J375" i="13"/>
  <c r="I376" i="13"/>
  <c r="J376" i="13"/>
  <c r="I377" i="13"/>
  <c r="J377" i="13"/>
  <c r="I378" i="13"/>
  <c r="J378" i="13"/>
  <c r="I379" i="13"/>
  <c r="J379" i="13"/>
  <c r="I380" i="13"/>
  <c r="J380" i="13"/>
  <c r="I381" i="13"/>
  <c r="J381" i="13"/>
  <c r="I382" i="13"/>
  <c r="J382" i="13"/>
  <c r="I383" i="13"/>
  <c r="J383" i="13"/>
  <c r="I384" i="13"/>
  <c r="J384" i="13"/>
  <c r="I385" i="13"/>
  <c r="J385" i="13"/>
  <c r="I386" i="13"/>
  <c r="J386" i="13"/>
  <c r="I387" i="13"/>
  <c r="J387" i="13"/>
  <c r="I388" i="13"/>
  <c r="J388" i="13"/>
  <c r="I389" i="13"/>
  <c r="J389" i="13"/>
  <c r="I390" i="13"/>
  <c r="J390" i="13"/>
  <c r="I391" i="13"/>
  <c r="J391" i="13"/>
  <c r="I392" i="13"/>
  <c r="J392" i="13"/>
  <c r="I393" i="13"/>
  <c r="J393" i="13"/>
  <c r="I394" i="13"/>
  <c r="J394" i="13"/>
  <c r="I395" i="13"/>
  <c r="J395" i="13"/>
  <c r="I396" i="13"/>
  <c r="J396" i="13"/>
  <c r="I397" i="13"/>
  <c r="J397" i="13"/>
  <c r="I398" i="13"/>
  <c r="J398" i="13"/>
  <c r="I399" i="13"/>
  <c r="J399" i="13"/>
  <c r="I400" i="13"/>
  <c r="J400" i="13"/>
  <c r="I401" i="13"/>
  <c r="J401" i="13"/>
  <c r="I402" i="13"/>
  <c r="J402" i="13"/>
  <c r="I403" i="13"/>
  <c r="J403" i="13"/>
  <c r="I404" i="13"/>
  <c r="J404" i="13"/>
  <c r="I405" i="13"/>
  <c r="J405" i="13"/>
  <c r="I406" i="13"/>
  <c r="J406" i="13"/>
  <c r="I407" i="13"/>
  <c r="J407" i="13"/>
  <c r="I408" i="13"/>
  <c r="J408" i="13"/>
  <c r="I409" i="13"/>
  <c r="J409" i="13"/>
  <c r="I410" i="13"/>
  <c r="J410" i="13"/>
  <c r="I411" i="13"/>
  <c r="J411" i="13"/>
  <c r="I412" i="13"/>
  <c r="J412" i="13"/>
  <c r="I413" i="13"/>
  <c r="J413" i="13"/>
  <c r="I414" i="13"/>
  <c r="J414" i="13"/>
  <c r="I415" i="13"/>
  <c r="J415" i="13"/>
  <c r="I416" i="13"/>
  <c r="J416" i="13"/>
  <c r="I417" i="13"/>
  <c r="J417" i="13"/>
  <c r="I418" i="13"/>
  <c r="J418" i="13"/>
  <c r="I419" i="13"/>
  <c r="J419" i="13"/>
  <c r="I420" i="13"/>
  <c r="J420" i="13"/>
  <c r="I421" i="13"/>
  <c r="J421" i="13"/>
  <c r="I422" i="13"/>
  <c r="J422" i="13"/>
  <c r="I423" i="13"/>
  <c r="J423" i="13"/>
  <c r="I424" i="13"/>
  <c r="J424" i="13"/>
  <c r="I425" i="13"/>
  <c r="J425" i="13"/>
  <c r="I426" i="13"/>
  <c r="J426" i="13"/>
  <c r="I427" i="13"/>
  <c r="J427" i="13"/>
  <c r="I428" i="13"/>
  <c r="J428" i="13"/>
  <c r="I429" i="13"/>
  <c r="J429" i="13"/>
  <c r="I430" i="13"/>
  <c r="J430" i="13"/>
  <c r="I431" i="13"/>
  <c r="J431" i="13"/>
  <c r="I432" i="13"/>
  <c r="J432" i="13"/>
  <c r="I433" i="13"/>
  <c r="J433" i="13"/>
  <c r="I434" i="13"/>
  <c r="J434" i="13"/>
  <c r="I435" i="13"/>
  <c r="J435" i="13"/>
  <c r="I436" i="13"/>
  <c r="J436" i="13"/>
  <c r="I437" i="13"/>
  <c r="J437" i="13"/>
  <c r="I438" i="13"/>
  <c r="J438" i="13"/>
  <c r="I439" i="13"/>
  <c r="J439" i="13"/>
  <c r="I440" i="13"/>
  <c r="J440" i="13"/>
  <c r="I441" i="13"/>
  <c r="J441" i="13"/>
  <c r="I442" i="13"/>
  <c r="J442" i="13"/>
  <c r="I443" i="13"/>
  <c r="J443" i="13"/>
  <c r="I444" i="13"/>
  <c r="J444" i="13"/>
  <c r="I445" i="13"/>
  <c r="J445" i="13"/>
  <c r="I446" i="13"/>
  <c r="J446" i="13"/>
  <c r="I447" i="13"/>
  <c r="J447" i="13"/>
  <c r="I448" i="13"/>
  <c r="J448" i="13"/>
  <c r="I449" i="13"/>
  <c r="J449" i="13"/>
  <c r="I450" i="13"/>
  <c r="J450" i="13"/>
  <c r="I451" i="13"/>
  <c r="J451" i="13"/>
  <c r="I452" i="13"/>
  <c r="J452" i="13"/>
  <c r="I453" i="13"/>
  <c r="J453" i="13"/>
  <c r="I454" i="13"/>
  <c r="J454" i="13"/>
  <c r="I455" i="13"/>
  <c r="J455" i="13"/>
  <c r="I456" i="13"/>
  <c r="J456" i="13"/>
  <c r="I457" i="13"/>
  <c r="J457" i="13"/>
  <c r="I458" i="13"/>
  <c r="J458" i="13"/>
  <c r="I459" i="13"/>
  <c r="J459" i="13"/>
  <c r="I460" i="13"/>
  <c r="J460" i="13"/>
  <c r="I461" i="13"/>
  <c r="J461" i="13"/>
  <c r="I462" i="13"/>
  <c r="J462" i="13"/>
  <c r="I463" i="13"/>
  <c r="J463" i="13"/>
  <c r="I464" i="13"/>
  <c r="J464" i="13"/>
  <c r="I465" i="13"/>
  <c r="J465" i="13"/>
  <c r="I466" i="13"/>
  <c r="J466" i="13"/>
  <c r="I467" i="13"/>
  <c r="J467" i="13"/>
  <c r="I468" i="13"/>
  <c r="J468" i="13"/>
  <c r="I469" i="13"/>
  <c r="J469" i="13"/>
  <c r="I470" i="13"/>
  <c r="J470" i="13"/>
  <c r="I471" i="13"/>
  <c r="J471" i="13"/>
  <c r="I472" i="13"/>
  <c r="J472" i="13"/>
  <c r="I473" i="13"/>
  <c r="J473" i="13"/>
  <c r="I474" i="13"/>
  <c r="J474" i="13"/>
  <c r="I475" i="13"/>
  <c r="J475" i="13"/>
  <c r="I476" i="13"/>
  <c r="J476" i="13"/>
  <c r="I477" i="13"/>
  <c r="J477" i="13"/>
  <c r="I478" i="13"/>
  <c r="J478" i="13"/>
  <c r="I479" i="13"/>
  <c r="J479" i="13"/>
  <c r="I480" i="13"/>
  <c r="J480" i="13"/>
  <c r="I481" i="13"/>
  <c r="J481" i="13"/>
  <c r="I482" i="13"/>
  <c r="J482" i="13"/>
  <c r="I483" i="13"/>
  <c r="J483" i="13"/>
  <c r="I484" i="13"/>
  <c r="J484" i="13"/>
  <c r="I485" i="13"/>
  <c r="J485" i="13"/>
  <c r="I486" i="13"/>
  <c r="J486" i="13"/>
  <c r="I487" i="13"/>
  <c r="J487" i="13"/>
  <c r="I488" i="13"/>
  <c r="J488" i="13"/>
  <c r="I489" i="13"/>
  <c r="J489" i="13"/>
  <c r="I490" i="13"/>
  <c r="J490" i="13"/>
  <c r="I491" i="13"/>
  <c r="J491" i="13"/>
  <c r="I492" i="13"/>
  <c r="J492" i="13"/>
  <c r="I493" i="13"/>
  <c r="J493" i="13"/>
  <c r="I494" i="13"/>
  <c r="J494" i="13"/>
  <c r="I495" i="13"/>
  <c r="J495" i="13"/>
  <c r="I496" i="13"/>
  <c r="J496" i="13"/>
  <c r="I497" i="13"/>
  <c r="J497" i="13"/>
  <c r="I498" i="13"/>
  <c r="J498" i="13"/>
  <c r="I499" i="13"/>
  <c r="J499" i="13"/>
  <c r="I500" i="13"/>
  <c r="J500" i="13"/>
  <c r="I501" i="13"/>
  <c r="J501" i="13"/>
  <c r="I502" i="13"/>
  <c r="J502" i="13"/>
  <c r="I503" i="13"/>
  <c r="J503" i="13"/>
  <c r="I504" i="13"/>
  <c r="J504" i="13"/>
  <c r="I505" i="13"/>
  <c r="J505" i="13"/>
  <c r="I506" i="13"/>
  <c r="J506" i="13"/>
  <c r="I507" i="13"/>
  <c r="J507" i="13"/>
  <c r="I508" i="13"/>
  <c r="J508" i="13"/>
  <c r="I509" i="13"/>
  <c r="J509" i="13"/>
  <c r="I510" i="13"/>
  <c r="J510" i="13"/>
  <c r="I511" i="13"/>
  <c r="J511" i="13"/>
  <c r="I512" i="13"/>
  <c r="J512" i="13"/>
  <c r="I513" i="13"/>
  <c r="J513" i="13"/>
  <c r="I514" i="13"/>
  <c r="J514" i="13"/>
  <c r="I515" i="13"/>
  <c r="J515" i="13"/>
  <c r="I516" i="13"/>
  <c r="J516" i="13"/>
  <c r="I517" i="13"/>
  <c r="J517" i="13"/>
  <c r="I518" i="13"/>
  <c r="J518" i="13"/>
  <c r="I519" i="13"/>
  <c r="J519" i="13"/>
  <c r="I520" i="13"/>
  <c r="J520" i="13"/>
  <c r="I521" i="13"/>
  <c r="J521" i="13"/>
  <c r="I522" i="13"/>
  <c r="J522" i="13"/>
  <c r="I523" i="13"/>
  <c r="J523" i="13"/>
  <c r="I524" i="13"/>
  <c r="J524" i="13"/>
  <c r="I525" i="13"/>
  <c r="J525" i="13"/>
  <c r="I526" i="13"/>
  <c r="J526" i="13"/>
  <c r="I527" i="13"/>
  <c r="J527" i="13"/>
  <c r="I528" i="13"/>
  <c r="J528" i="13"/>
  <c r="I529" i="13"/>
  <c r="J529" i="13"/>
  <c r="I530" i="13"/>
  <c r="J530" i="13"/>
  <c r="I531" i="13"/>
  <c r="J531" i="13"/>
  <c r="I532" i="13"/>
  <c r="J532" i="13"/>
  <c r="I533" i="13"/>
  <c r="J533" i="13"/>
  <c r="I534" i="13"/>
  <c r="J534" i="13"/>
  <c r="I535" i="13"/>
  <c r="J535" i="13"/>
  <c r="I536" i="13"/>
  <c r="J536" i="13"/>
  <c r="I537" i="13"/>
  <c r="J537" i="13"/>
  <c r="I538" i="13"/>
  <c r="J538" i="13"/>
  <c r="I539" i="13"/>
  <c r="J539" i="13"/>
  <c r="I540" i="13"/>
  <c r="J540" i="13"/>
  <c r="I541" i="13"/>
  <c r="J541" i="13"/>
  <c r="I542" i="13"/>
  <c r="J542" i="13"/>
  <c r="I543" i="13"/>
  <c r="J543" i="13"/>
  <c r="I544" i="13"/>
  <c r="J544" i="13"/>
  <c r="I545" i="13"/>
  <c r="J545" i="13"/>
  <c r="I546" i="13"/>
  <c r="J546" i="13"/>
  <c r="I547" i="13"/>
  <c r="J547" i="13"/>
  <c r="I548" i="13"/>
  <c r="J548" i="13"/>
  <c r="I549" i="13"/>
  <c r="J549" i="13"/>
  <c r="I550" i="13"/>
  <c r="J550" i="13"/>
  <c r="I551" i="13"/>
  <c r="J551" i="13"/>
  <c r="I552" i="13"/>
  <c r="J552" i="13"/>
  <c r="I553" i="13"/>
  <c r="J553" i="13"/>
  <c r="I554" i="13"/>
  <c r="J554" i="13"/>
  <c r="I555" i="13"/>
  <c r="J555" i="13"/>
  <c r="I556" i="13"/>
  <c r="J556" i="13"/>
  <c r="I557" i="13"/>
  <c r="J557" i="13"/>
  <c r="I558" i="13"/>
  <c r="J558" i="13"/>
  <c r="I559" i="13"/>
  <c r="J559" i="13"/>
  <c r="I560" i="13"/>
  <c r="J560" i="13"/>
  <c r="I561" i="13"/>
  <c r="J561" i="13"/>
  <c r="I562" i="13"/>
  <c r="J562" i="13"/>
  <c r="I563" i="13"/>
  <c r="J563" i="13"/>
  <c r="I564" i="13"/>
  <c r="J564" i="13"/>
  <c r="I565" i="13"/>
  <c r="J565" i="13"/>
  <c r="I566" i="13"/>
  <c r="J566" i="13"/>
  <c r="I567" i="13"/>
  <c r="J567" i="13"/>
  <c r="I568" i="13"/>
  <c r="J568" i="13"/>
  <c r="I569" i="13"/>
  <c r="J569" i="13"/>
  <c r="I570" i="13"/>
  <c r="J570" i="13"/>
  <c r="I571" i="13"/>
  <c r="J571" i="13"/>
  <c r="I572" i="13"/>
  <c r="J572" i="13"/>
  <c r="I573" i="13"/>
  <c r="J573" i="13"/>
  <c r="I574" i="13"/>
  <c r="J574" i="13"/>
  <c r="I575" i="13"/>
  <c r="J575" i="13"/>
  <c r="I576" i="13"/>
  <c r="J576" i="13"/>
  <c r="I577" i="13"/>
  <c r="J577" i="13"/>
  <c r="I578" i="13"/>
  <c r="J578" i="13"/>
  <c r="I579" i="13"/>
  <c r="J579" i="13"/>
  <c r="I580" i="13"/>
  <c r="J580" i="13"/>
  <c r="I581" i="13"/>
  <c r="J581" i="13"/>
  <c r="I582" i="13"/>
  <c r="J582" i="13"/>
  <c r="I583" i="13"/>
  <c r="J583" i="13"/>
  <c r="I584" i="13"/>
  <c r="J584" i="13"/>
  <c r="I585" i="13"/>
  <c r="J585" i="13"/>
  <c r="I586" i="13"/>
  <c r="J586" i="13"/>
  <c r="I587" i="13"/>
  <c r="J587" i="13"/>
  <c r="I588" i="13"/>
  <c r="J588" i="13"/>
  <c r="I589" i="13"/>
  <c r="J589" i="13"/>
  <c r="I590" i="13"/>
  <c r="J590" i="13"/>
  <c r="I591" i="13"/>
  <c r="J591" i="13"/>
  <c r="I592" i="13"/>
  <c r="J592" i="13"/>
  <c r="I593" i="13"/>
  <c r="J593" i="13"/>
  <c r="I594" i="13"/>
  <c r="J594" i="13"/>
  <c r="I595" i="13"/>
  <c r="J595" i="13"/>
  <c r="I596" i="13"/>
  <c r="J596" i="13"/>
  <c r="I597" i="13"/>
  <c r="J597" i="13"/>
  <c r="I598" i="13"/>
  <c r="J598" i="13"/>
  <c r="I599" i="13"/>
  <c r="J599" i="13"/>
  <c r="I600" i="13"/>
  <c r="J600" i="13"/>
  <c r="I601" i="13"/>
  <c r="J601" i="13"/>
  <c r="I602" i="13"/>
  <c r="J602" i="13"/>
  <c r="I603" i="13"/>
  <c r="J603" i="13"/>
  <c r="I604" i="13"/>
  <c r="J604" i="13"/>
  <c r="I605" i="13"/>
  <c r="J605" i="13"/>
  <c r="I606" i="13"/>
  <c r="J606" i="13"/>
  <c r="I607" i="13"/>
  <c r="J607" i="13"/>
  <c r="I608" i="13"/>
  <c r="J608" i="13"/>
  <c r="I609" i="13"/>
  <c r="J609" i="13"/>
  <c r="I610" i="13"/>
  <c r="J610" i="13"/>
  <c r="I611" i="13"/>
  <c r="J611" i="13"/>
  <c r="I612" i="13"/>
  <c r="J612" i="13"/>
  <c r="I613" i="13"/>
  <c r="J613" i="13"/>
  <c r="I614" i="13"/>
  <c r="J614" i="13"/>
  <c r="I615" i="13"/>
  <c r="J615" i="13"/>
  <c r="I616" i="13"/>
  <c r="J616" i="13"/>
  <c r="I617" i="13"/>
  <c r="J617" i="13"/>
  <c r="I618" i="13"/>
  <c r="J618" i="13"/>
  <c r="I619" i="13"/>
  <c r="J619" i="13"/>
  <c r="I620" i="13"/>
  <c r="J620" i="13"/>
  <c r="I621" i="13"/>
  <c r="J621" i="13"/>
  <c r="I622" i="13"/>
  <c r="J622" i="13"/>
  <c r="I623" i="13"/>
  <c r="J623" i="13"/>
  <c r="I624" i="13"/>
  <c r="J624" i="13"/>
  <c r="I625" i="13"/>
  <c r="J625" i="13"/>
  <c r="I626" i="13"/>
  <c r="J626" i="13"/>
  <c r="I627" i="13"/>
  <c r="J627" i="13"/>
  <c r="I628" i="13"/>
  <c r="J628" i="13"/>
  <c r="I629" i="13"/>
  <c r="J629" i="13"/>
  <c r="I630" i="13"/>
  <c r="J630" i="13"/>
  <c r="I631" i="13"/>
  <c r="J631" i="13"/>
  <c r="I632" i="13"/>
  <c r="J632" i="13"/>
  <c r="I633" i="13"/>
  <c r="J633" i="13"/>
  <c r="I634" i="13"/>
  <c r="J634" i="13"/>
  <c r="I635" i="13"/>
  <c r="J635" i="13"/>
  <c r="I636" i="13"/>
  <c r="J636" i="13"/>
  <c r="I637" i="13"/>
  <c r="J637" i="13"/>
  <c r="I638" i="13"/>
  <c r="J638" i="13"/>
  <c r="I639" i="13"/>
  <c r="J639" i="13"/>
  <c r="I640" i="13"/>
  <c r="J640" i="13"/>
  <c r="I641" i="13"/>
  <c r="J641" i="13"/>
  <c r="I642" i="13"/>
  <c r="J642" i="13"/>
  <c r="I643" i="13"/>
  <c r="J643" i="13"/>
  <c r="I644" i="13"/>
  <c r="J644" i="13"/>
  <c r="I645" i="13"/>
  <c r="J645" i="13"/>
  <c r="I646" i="13"/>
  <c r="J646" i="13"/>
  <c r="I647" i="13"/>
  <c r="J647" i="13"/>
  <c r="I648" i="13"/>
  <c r="J648" i="13"/>
  <c r="I649" i="13"/>
  <c r="J649" i="13"/>
  <c r="I650" i="13"/>
  <c r="J650" i="13"/>
  <c r="I651" i="13"/>
  <c r="J651" i="13"/>
  <c r="I652" i="13"/>
  <c r="J652" i="13"/>
  <c r="I653" i="13"/>
  <c r="J653" i="13"/>
  <c r="I654" i="13"/>
  <c r="J654" i="13"/>
  <c r="I655" i="13"/>
  <c r="J655" i="13"/>
  <c r="I656" i="13"/>
  <c r="J656" i="13"/>
  <c r="I657" i="13"/>
  <c r="J657" i="13"/>
  <c r="I658" i="13"/>
  <c r="J658" i="13"/>
  <c r="I659" i="13"/>
  <c r="J659" i="13"/>
  <c r="I660" i="13"/>
  <c r="J660" i="13"/>
  <c r="I661" i="13"/>
  <c r="J661" i="13"/>
  <c r="I662" i="13"/>
  <c r="J662" i="13"/>
  <c r="I663" i="13"/>
  <c r="J663" i="13"/>
  <c r="I664" i="13"/>
  <c r="J664" i="13"/>
  <c r="I665" i="13"/>
  <c r="J665" i="13"/>
  <c r="I666" i="13"/>
  <c r="J666" i="13"/>
  <c r="I667" i="13"/>
  <c r="J667" i="13"/>
  <c r="I668" i="13"/>
  <c r="J668" i="13"/>
  <c r="I669" i="13"/>
  <c r="J669" i="13"/>
  <c r="I670" i="13"/>
  <c r="J670" i="13"/>
  <c r="I671" i="13"/>
  <c r="J671" i="13"/>
  <c r="I672" i="13"/>
  <c r="J672" i="13"/>
  <c r="I673" i="13"/>
  <c r="J673" i="13"/>
  <c r="I674" i="13"/>
  <c r="J674" i="13"/>
  <c r="I675" i="13"/>
  <c r="J675" i="13"/>
  <c r="I676" i="13"/>
  <c r="J676" i="13"/>
  <c r="I677" i="13"/>
  <c r="J677" i="13"/>
  <c r="I678" i="13"/>
  <c r="J678" i="13"/>
  <c r="I679" i="13"/>
  <c r="J679" i="13"/>
  <c r="I680" i="13"/>
  <c r="J680" i="13"/>
  <c r="I681" i="13"/>
  <c r="J681" i="13"/>
  <c r="I682" i="13"/>
  <c r="J682" i="13"/>
  <c r="I683" i="13"/>
  <c r="J683" i="13"/>
  <c r="I684" i="13"/>
  <c r="J684" i="13"/>
  <c r="I685" i="13"/>
  <c r="J685" i="13"/>
  <c r="I686" i="13"/>
  <c r="J686" i="13"/>
  <c r="I687" i="13"/>
  <c r="J687" i="13"/>
  <c r="I688" i="13"/>
  <c r="J688" i="13"/>
  <c r="I689" i="13"/>
  <c r="J689" i="13"/>
  <c r="I690" i="13"/>
  <c r="J690" i="13"/>
  <c r="I691" i="13"/>
  <c r="J691" i="13"/>
  <c r="I692" i="13"/>
  <c r="J692" i="13"/>
  <c r="I693" i="13"/>
  <c r="J693" i="13"/>
  <c r="I694" i="13"/>
  <c r="J694" i="13"/>
  <c r="I695" i="13"/>
  <c r="J695" i="13"/>
  <c r="I696" i="13"/>
  <c r="J696" i="13"/>
  <c r="I697" i="13"/>
  <c r="J697" i="13"/>
  <c r="I698" i="13"/>
  <c r="J698" i="13"/>
  <c r="I699" i="13"/>
  <c r="J699" i="13"/>
  <c r="I700" i="13"/>
  <c r="J700" i="13"/>
  <c r="I701" i="13"/>
  <c r="J701" i="13"/>
  <c r="I702" i="13"/>
  <c r="J702" i="13"/>
  <c r="I703" i="13"/>
  <c r="J703" i="13"/>
  <c r="I704" i="13"/>
  <c r="J704" i="13"/>
  <c r="I705" i="13"/>
  <c r="J705" i="13"/>
  <c r="I706" i="13"/>
  <c r="J706" i="13"/>
  <c r="I707" i="13"/>
  <c r="J707" i="13"/>
  <c r="I708" i="13"/>
  <c r="J708" i="13"/>
  <c r="I709" i="13"/>
  <c r="J709" i="13"/>
  <c r="I710" i="13"/>
  <c r="J710" i="13"/>
  <c r="I711" i="13"/>
  <c r="J711" i="13"/>
  <c r="I712" i="13"/>
  <c r="J712" i="13"/>
  <c r="I713" i="13"/>
  <c r="J713" i="13"/>
  <c r="I714" i="13"/>
  <c r="J714" i="13"/>
  <c r="I715" i="13"/>
  <c r="J715" i="13"/>
  <c r="I716" i="13"/>
  <c r="J716" i="13"/>
  <c r="I717" i="13"/>
  <c r="J717" i="13"/>
  <c r="I718" i="13"/>
  <c r="J718" i="13"/>
  <c r="I719" i="13"/>
  <c r="J719" i="13"/>
  <c r="I720" i="13"/>
  <c r="J720" i="13"/>
  <c r="I721" i="13"/>
  <c r="J721" i="13"/>
  <c r="I722" i="13"/>
  <c r="J722" i="13"/>
  <c r="I723" i="13"/>
  <c r="J723" i="13"/>
  <c r="I724" i="13"/>
  <c r="J724" i="13"/>
  <c r="I725" i="13"/>
  <c r="J725" i="13"/>
  <c r="I726" i="13"/>
  <c r="J726" i="13"/>
  <c r="I727" i="13"/>
  <c r="J727" i="13"/>
  <c r="I728" i="13"/>
  <c r="J728" i="13"/>
  <c r="I729" i="13"/>
  <c r="J729" i="13"/>
  <c r="I730" i="13"/>
  <c r="J730" i="13"/>
  <c r="I731" i="13"/>
  <c r="J731" i="13"/>
  <c r="I732" i="13"/>
  <c r="J732" i="13"/>
  <c r="I733" i="13"/>
  <c r="J733" i="13"/>
  <c r="I734" i="13"/>
  <c r="J734" i="13"/>
  <c r="I735" i="13"/>
  <c r="J735" i="13"/>
  <c r="I736" i="13"/>
  <c r="J736" i="13"/>
  <c r="I737" i="13"/>
  <c r="J737" i="13"/>
  <c r="I738" i="13"/>
  <c r="J738" i="13"/>
  <c r="I739" i="13"/>
  <c r="J739" i="13"/>
  <c r="I740" i="13"/>
  <c r="J740" i="13"/>
  <c r="I741" i="13"/>
  <c r="J741" i="13"/>
  <c r="I742" i="13"/>
  <c r="J742" i="13"/>
  <c r="I743" i="13"/>
  <c r="J743" i="13"/>
  <c r="I744" i="13"/>
  <c r="J744" i="13"/>
  <c r="I745" i="13"/>
  <c r="J745" i="13"/>
  <c r="I746" i="13"/>
  <c r="J746" i="13"/>
  <c r="I747" i="13"/>
  <c r="J747" i="13"/>
  <c r="I748" i="13"/>
  <c r="J748" i="13"/>
  <c r="I749" i="13"/>
  <c r="J749" i="13"/>
  <c r="I750" i="13"/>
  <c r="J750" i="13"/>
  <c r="I751" i="13"/>
  <c r="J751" i="13"/>
  <c r="I752" i="13"/>
  <c r="J752" i="13"/>
  <c r="I753" i="13"/>
  <c r="J753" i="13"/>
  <c r="I754" i="13"/>
  <c r="J754" i="13"/>
  <c r="I755" i="13"/>
  <c r="J755" i="13"/>
  <c r="I756" i="13"/>
  <c r="J756" i="13"/>
  <c r="I757" i="13"/>
  <c r="J757" i="13"/>
  <c r="I758" i="13"/>
  <c r="J758" i="13"/>
  <c r="I759" i="13"/>
  <c r="J759" i="13"/>
  <c r="I760" i="13"/>
  <c r="J760" i="13"/>
  <c r="I761" i="13"/>
  <c r="J761" i="13"/>
  <c r="I762" i="13"/>
  <c r="J762" i="13"/>
  <c r="I763" i="13"/>
  <c r="J763" i="13"/>
  <c r="I764" i="13"/>
  <c r="J764" i="13"/>
  <c r="I765" i="13"/>
  <c r="J765" i="13"/>
  <c r="I766" i="13"/>
  <c r="J766" i="13"/>
  <c r="I767" i="13"/>
  <c r="J767" i="13"/>
  <c r="I768" i="13"/>
  <c r="J768" i="13"/>
  <c r="I769" i="13"/>
  <c r="J769" i="13"/>
  <c r="I770" i="13"/>
  <c r="J770" i="13"/>
  <c r="I771" i="13"/>
  <c r="J771" i="13"/>
  <c r="I772" i="13"/>
  <c r="J772" i="13"/>
  <c r="I773" i="13"/>
  <c r="J773" i="13"/>
  <c r="I774" i="13"/>
  <c r="J774" i="13"/>
  <c r="I775" i="13"/>
  <c r="J775" i="13"/>
  <c r="I776" i="13"/>
  <c r="J776" i="13"/>
  <c r="I777" i="13"/>
  <c r="J777" i="13"/>
  <c r="I778" i="13"/>
  <c r="J778" i="13"/>
  <c r="I779" i="13"/>
  <c r="J779" i="13"/>
  <c r="I780" i="13"/>
  <c r="J780" i="13"/>
  <c r="I781" i="13"/>
  <c r="J781" i="13"/>
  <c r="I782" i="13"/>
  <c r="J782" i="13"/>
  <c r="I783" i="13"/>
  <c r="J783" i="13"/>
  <c r="I784" i="13"/>
  <c r="J784" i="13"/>
  <c r="I785" i="13"/>
  <c r="J785" i="13"/>
  <c r="I786" i="13"/>
  <c r="J786" i="13"/>
  <c r="I787" i="13"/>
  <c r="J787" i="13"/>
  <c r="I788" i="13"/>
  <c r="J788" i="13"/>
  <c r="I789" i="13"/>
  <c r="J789" i="13"/>
  <c r="I790" i="13"/>
  <c r="J790" i="13"/>
  <c r="I791" i="13"/>
  <c r="J791" i="13"/>
  <c r="I792" i="13"/>
  <c r="J792" i="13"/>
  <c r="I793" i="13"/>
  <c r="J793" i="13"/>
  <c r="I794" i="13"/>
  <c r="J794" i="13"/>
  <c r="I795" i="13"/>
  <c r="J795" i="13"/>
  <c r="I796" i="13"/>
  <c r="J796" i="13"/>
  <c r="I797" i="13"/>
  <c r="J797" i="13"/>
  <c r="I798" i="13"/>
  <c r="J798" i="13"/>
  <c r="I799" i="13"/>
  <c r="J799" i="13"/>
  <c r="I800" i="13"/>
  <c r="J800" i="13"/>
  <c r="I801" i="13"/>
  <c r="J801" i="13"/>
  <c r="I802" i="13"/>
  <c r="J802" i="13"/>
  <c r="I803" i="13"/>
  <c r="J803" i="13"/>
  <c r="I804" i="13"/>
  <c r="J804" i="13"/>
  <c r="I805" i="13"/>
  <c r="J805" i="13"/>
  <c r="I806" i="13"/>
  <c r="J806" i="13"/>
  <c r="I807" i="13"/>
  <c r="J807" i="13"/>
  <c r="I808" i="13"/>
  <c r="J808" i="13"/>
  <c r="I809" i="13"/>
  <c r="J809" i="13"/>
  <c r="I810" i="13"/>
  <c r="J810" i="13"/>
  <c r="I811" i="13"/>
  <c r="J811" i="13"/>
  <c r="I812" i="13"/>
  <c r="J812" i="13"/>
  <c r="I813" i="13"/>
  <c r="J813" i="13"/>
  <c r="I814" i="13"/>
  <c r="J814" i="13"/>
  <c r="I815" i="13"/>
  <c r="J815" i="13"/>
  <c r="I816" i="13"/>
  <c r="J816" i="13"/>
  <c r="I817" i="13"/>
  <c r="J817" i="13"/>
  <c r="I818" i="13"/>
  <c r="J818" i="13"/>
  <c r="I819" i="13"/>
  <c r="J819" i="13"/>
  <c r="I820" i="13"/>
  <c r="J820" i="13"/>
  <c r="I821" i="13"/>
  <c r="J821" i="13"/>
  <c r="I822" i="13"/>
  <c r="J822" i="13"/>
  <c r="I823" i="13"/>
  <c r="J823" i="13"/>
  <c r="I824" i="13"/>
  <c r="J824" i="13"/>
  <c r="I825" i="13"/>
  <c r="J825" i="13"/>
  <c r="I826" i="13"/>
  <c r="J826" i="13"/>
  <c r="I827" i="13"/>
  <c r="J827" i="13"/>
  <c r="I828" i="13"/>
  <c r="J828" i="13"/>
  <c r="I829" i="13"/>
  <c r="J829" i="13"/>
  <c r="I830" i="13"/>
  <c r="J830" i="13"/>
  <c r="I831" i="13"/>
  <c r="J831" i="13"/>
  <c r="I832" i="13"/>
  <c r="J832" i="13"/>
  <c r="I833" i="13"/>
  <c r="J833" i="13"/>
  <c r="I834" i="13"/>
  <c r="J834" i="13"/>
  <c r="I835" i="13"/>
  <c r="J835" i="13"/>
  <c r="I836" i="13"/>
  <c r="J836" i="13"/>
  <c r="I837" i="13"/>
  <c r="J837" i="13"/>
  <c r="I838" i="13"/>
  <c r="J838" i="13"/>
  <c r="I839" i="13"/>
  <c r="J839" i="13"/>
  <c r="I840" i="13"/>
  <c r="J840" i="13"/>
  <c r="I841" i="13"/>
  <c r="J841" i="13"/>
  <c r="I842" i="13"/>
  <c r="J842" i="13"/>
  <c r="I843" i="13"/>
  <c r="J843" i="13"/>
  <c r="I844" i="13"/>
  <c r="J844" i="13"/>
  <c r="I845" i="13"/>
  <c r="J845" i="13"/>
  <c r="I846" i="13"/>
  <c r="J846" i="13"/>
  <c r="I847" i="13"/>
  <c r="J847" i="13"/>
  <c r="I848" i="13"/>
  <c r="J848" i="13"/>
  <c r="I849" i="13"/>
  <c r="J849" i="13"/>
  <c r="I850" i="13"/>
  <c r="J850" i="13"/>
  <c r="I851" i="13"/>
  <c r="J851" i="13"/>
  <c r="I852" i="13"/>
  <c r="J852" i="13"/>
  <c r="I853" i="13"/>
  <c r="J853" i="13"/>
  <c r="I854" i="13"/>
  <c r="J854" i="13"/>
  <c r="I855" i="13"/>
  <c r="J855" i="13"/>
  <c r="I856" i="13"/>
  <c r="J856" i="13"/>
  <c r="I857" i="13"/>
  <c r="J857" i="13"/>
  <c r="I858" i="13"/>
  <c r="J858" i="13"/>
  <c r="I859" i="13"/>
  <c r="J859" i="13"/>
  <c r="I860" i="13"/>
  <c r="J860" i="13"/>
  <c r="I861" i="13"/>
  <c r="J861" i="13"/>
  <c r="I862" i="13"/>
  <c r="J862" i="13"/>
  <c r="I863" i="13"/>
  <c r="J863" i="13"/>
  <c r="I864" i="13"/>
  <c r="J864" i="13"/>
  <c r="I865" i="13"/>
  <c r="J865" i="13"/>
  <c r="I866" i="13"/>
  <c r="J866" i="13"/>
  <c r="I867" i="13"/>
  <c r="J867" i="13"/>
  <c r="I868" i="13"/>
  <c r="J868" i="13"/>
  <c r="I869" i="13"/>
  <c r="J869" i="13"/>
  <c r="I870" i="13"/>
  <c r="J870" i="13"/>
  <c r="I871" i="13"/>
  <c r="J871" i="13"/>
  <c r="I872" i="13"/>
  <c r="J872" i="13"/>
  <c r="I873" i="13"/>
  <c r="J873" i="13"/>
  <c r="I874" i="13"/>
  <c r="J874" i="13"/>
  <c r="I875" i="13"/>
  <c r="J875" i="13"/>
  <c r="I876" i="13"/>
  <c r="J876" i="13"/>
  <c r="I877" i="13"/>
  <c r="J877" i="13"/>
  <c r="I878" i="13"/>
  <c r="J878" i="13"/>
  <c r="I879" i="13"/>
  <c r="J879" i="13"/>
  <c r="I880" i="13"/>
  <c r="J880" i="13"/>
  <c r="I881" i="13"/>
  <c r="J881" i="13"/>
  <c r="I882" i="13"/>
  <c r="J882" i="13"/>
  <c r="I883" i="13"/>
  <c r="J883" i="13"/>
  <c r="I884" i="13"/>
  <c r="J884" i="13"/>
  <c r="I885" i="13"/>
  <c r="J885" i="13"/>
  <c r="I886" i="13"/>
  <c r="J886" i="13"/>
  <c r="I887" i="13"/>
  <c r="J887" i="13"/>
  <c r="I888" i="13"/>
  <c r="J888" i="13"/>
  <c r="I889" i="13"/>
  <c r="J889" i="13"/>
  <c r="I890" i="13"/>
  <c r="J890" i="13"/>
  <c r="I891" i="13"/>
  <c r="J891" i="13"/>
  <c r="I892" i="13"/>
  <c r="J892" i="13"/>
  <c r="I893" i="13"/>
  <c r="J893" i="13"/>
  <c r="I894" i="13"/>
  <c r="J894" i="13"/>
  <c r="I895" i="13"/>
  <c r="J895" i="13"/>
  <c r="I896" i="13"/>
  <c r="J896" i="13"/>
  <c r="I897" i="13"/>
  <c r="J897" i="13"/>
  <c r="I898" i="13"/>
  <c r="J898" i="13"/>
  <c r="I899" i="13"/>
  <c r="J899" i="13"/>
  <c r="I900" i="13"/>
  <c r="J900" i="13"/>
  <c r="I901" i="13"/>
  <c r="J901" i="13"/>
  <c r="I902" i="13"/>
  <c r="J902" i="13"/>
  <c r="I903" i="13"/>
  <c r="J903" i="13"/>
  <c r="I904" i="13"/>
  <c r="J904" i="13"/>
  <c r="I905" i="13"/>
  <c r="J905" i="13"/>
  <c r="I906" i="13"/>
  <c r="J906" i="13"/>
  <c r="I907" i="13"/>
  <c r="J907" i="13"/>
  <c r="I908" i="13"/>
  <c r="J908" i="13"/>
  <c r="I909" i="13"/>
  <c r="J909" i="13"/>
  <c r="I910" i="13"/>
  <c r="J910" i="13"/>
  <c r="I911" i="13"/>
  <c r="J911" i="13"/>
  <c r="I912" i="13"/>
  <c r="J912" i="13"/>
  <c r="I913" i="13"/>
  <c r="J913" i="13"/>
  <c r="I914" i="13"/>
  <c r="J914" i="13"/>
  <c r="I915" i="13"/>
  <c r="J915" i="13"/>
  <c r="I916" i="13"/>
  <c r="J916" i="13"/>
  <c r="I917" i="13"/>
  <c r="J917" i="13"/>
  <c r="I918" i="13"/>
  <c r="J918" i="13"/>
  <c r="I919" i="13"/>
  <c r="J919" i="13"/>
  <c r="I920" i="13"/>
  <c r="J920" i="13"/>
  <c r="I921" i="13"/>
  <c r="J921" i="13"/>
  <c r="I922" i="13"/>
  <c r="J922" i="13"/>
  <c r="I923" i="13"/>
  <c r="J923" i="13"/>
  <c r="I924" i="13"/>
  <c r="J924" i="13"/>
  <c r="I925" i="13"/>
  <c r="J925" i="13"/>
  <c r="I926" i="13"/>
  <c r="J926" i="13"/>
  <c r="I927" i="13"/>
  <c r="J927" i="13"/>
  <c r="I928" i="13"/>
  <c r="J928" i="13"/>
  <c r="I929" i="13"/>
  <c r="J929" i="13"/>
  <c r="I930" i="13"/>
  <c r="J930" i="13"/>
  <c r="I931" i="13"/>
  <c r="J931" i="13"/>
  <c r="I932" i="13"/>
  <c r="J932" i="13"/>
  <c r="I933" i="13"/>
  <c r="J933" i="13"/>
  <c r="I934" i="13"/>
  <c r="J934" i="13"/>
  <c r="I935" i="13"/>
  <c r="J935" i="13"/>
  <c r="I936" i="13"/>
  <c r="J936" i="13"/>
  <c r="I937" i="13"/>
  <c r="J937" i="13"/>
  <c r="I938" i="13"/>
  <c r="J938" i="13"/>
  <c r="I939" i="13"/>
  <c r="J939" i="13"/>
  <c r="I940" i="13"/>
  <c r="J940" i="13"/>
  <c r="I941" i="13"/>
  <c r="J941" i="13"/>
  <c r="I942" i="13"/>
  <c r="J942" i="13"/>
  <c r="I943" i="13"/>
  <c r="J943" i="13"/>
  <c r="I944" i="13"/>
  <c r="J944" i="13"/>
  <c r="I945" i="13"/>
  <c r="J945" i="13"/>
  <c r="I946" i="13"/>
  <c r="J946" i="13"/>
  <c r="I947" i="13"/>
  <c r="J947" i="13"/>
  <c r="I948" i="13"/>
  <c r="J948" i="13"/>
  <c r="I949" i="13"/>
  <c r="J949" i="13"/>
  <c r="I950" i="13"/>
  <c r="J950" i="13"/>
  <c r="I951" i="13"/>
  <c r="J951" i="13"/>
  <c r="I952" i="13"/>
  <c r="J952" i="13"/>
  <c r="I953" i="13"/>
  <c r="J953" i="13"/>
  <c r="I954" i="13"/>
  <c r="J954" i="13"/>
  <c r="I955" i="13"/>
  <c r="J955" i="13"/>
  <c r="I956" i="13"/>
  <c r="J956" i="13"/>
  <c r="I957" i="13"/>
  <c r="J957" i="13"/>
  <c r="I958" i="13"/>
  <c r="J958" i="13"/>
  <c r="I959" i="13"/>
  <c r="J959" i="13"/>
  <c r="I960" i="13"/>
  <c r="J960" i="13"/>
  <c r="I961" i="13"/>
  <c r="J961" i="13"/>
  <c r="I962" i="13"/>
  <c r="J962" i="13"/>
  <c r="I963" i="13"/>
  <c r="J963" i="13"/>
  <c r="I964" i="13"/>
  <c r="J964" i="13"/>
  <c r="I965" i="13"/>
  <c r="J965" i="13"/>
  <c r="I966" i="13"/>
  <c r="J966" i="13"/>
  <c r="I967" i="13"/>
  <c r="J967" i="13"/>
  <c r="I968" i="13"/>
  <c r="J968" i="13"/>
  <c r="I969" i="13"/>
  <c r="J969" i="13"/>
  <c r="I970" i="13"/>
  <c r="J970" i="13"/>
  <c r="I971" i="13"/>
  <c r="J971" i="13"/>
  <c r="I972" i="13"/>
  <c r="J972" i="13"/>
  <c r="I973" i="13"/>
  <c r="J973" i="13"/>
  <c r="I974" i="13"/>
  <c r="J974" i="13"/>
  <c r="I975" i="13"/>
  <c r="J975" i="13"/>
  <c r="I976" i="13"/>
  <c r="J976" i="13"/>
  <c r="I977" i="13"/>
  <c r="J977" i="13"/>
  <c r="I978" i="13"/>
  <c r="J978" i="13"/>
  <c r="I979" i="13"/>
  <c r="J979" i="13"/>
  <c r="I980" i="13"/>
  <c r="J980" i="13"/>
  <c r="I981" i="13"/>
  <c r="J981" i="13"/>
  <c r="I982" i="13"/>
  <c r="J982" i="13"/>
  <c r="I983" i="13"/>
  <c r="J983" i="13"/>
  <c r="I984" i="13"/>
  <c r="J984" i="13"/>
  <c r="I985" i="13"/>
  <c r="J985" i="13"/>
  <c r="I986" i="13"/>
  <c r="J986" i="13"/>
  <c r="I987" i="13"/>
  <c r="J987" i="13"/>
  <c r="I988" i="13"/>
  <c r="J988" i="13"/>
  <c r="I989" i="13"/>
  <c r="J989" i="13"/>
  <c r="I990" i="13"/>
  <c r="J990" i="13"/>
  <c r="I991" i="13"/>
  <c r="J991" i="13"/>
  <c r="I992" i="13"/>
  <c r="J992" i="13"/>
  <c r="I993" i="13"/>
  <c r="J993" i="13"/>
  <c r="I994" i="13"/>
  <c r="J994" i="13"/>
  <c r="I995" i="13"/>
  <c r="J995" i="13"/>
  <c r="I996" i="13"/>
  <c r="J996" i="13"/>
  <c r="I997" i="13"/>
  <c r="J997" i="13"/>
  <c r="I998" i="13"/>
  <c r="J998" i="13"/>
  <c r="I999" i="13"/>
  <c r="J999" i="13"/>
  <c r="I1000" i="13"/>
  <c r="J1000" i="13"/>
  <c r="I1001" i="13"/>
  <c r="J1001" i="13"/>
  <c r="I1002" i="13"/>
  <c r="J1002" i="13"/>
  <c r="I1003" i="13"/>
  <c r="J1003" i="13"/>
  <c r="I1004" i="13"/>
  <c r="J1004" i="13"/>
  <c r="I1005" i="13"/>
  <c r="J1005" i="13"/>
  <c r="I1006" i="13"/>
  <c r="J1006" i="13"/>
  <c r="I1007" i="13"/>
  <c r="J1007" i="13"/>
  <c r="I1008" i="13"/>
  <c r="J1008" i="13"/>
  <c r="I1009" i="13"/>
  <c r="J1009" i="13"/>
  <c r="I1010" i="13"/>
  <c r="J1010" i="13"/>
  <c r="I1011" i="13"/>
  <c r="J1011" i="13"/>
  <c r="I1012" i="13"/>
  <c r="J1012" i="13"/>
  <c r="I1013" i="13"/>
  <c r="J1013" i="13"/>
  <c r="I1014" i="13"/>
  <c r="J1014" i="13"/>
  <c r="I1015" i="13"/>
  <c r="J1015" i="13"/>
  <c r="I1016" i="13"/>
  <c r="J1016" i="13"/>
  <c r="I1017" i="13"/>
  <c r="J1017" i="13"/>
  <c r="I1018" i="13"/>
  <c r="J1018" i="13"/>
  <c r="I1019" i="13"/>
  <c r="J1019" i="13"/>
  <c r="I1020" i="13"/>
  <c r="J1020" i="13"/>
  <c r="I1021" i="13"/>
  <c r="J1021" i="13"/>
  <c r="I1022" i="13"/>
  <c r="J1022" i="13"/>
  <c r="I1023" i="13"/>
  <c r="J1023" i="13"/>
  <c r="I1024" i="13"/>
  <c r="J1024" i="13"/>
  <c r="I1025" i="13"/>
  <c r="J1025" i="13"/>
  <c r="I1026" i="13"/>
  <c r="J1026" i="13"/>
  <c r="I1027" i="13"/>
  <c r="J1027" i="13"/>
  <c r="I1028" i="13"/>
  <c r="J1028" i="13"/>
  <c r="I1029" i="13"/>
  <c r="J1029" i="13"/>
  <c r="I1030" i="13"/>
  <c r="J1030" i="13"/>
  <c r="I1031" i="13"/>
  <c r="J1031" i="13"/>
  <c r="I1032" i="13"/>
  <c r="J1032" i="13"/>
  <c r="I1033" i="13"/>
  <c r="J1033" i="13"/>
  <c r="I1034" i="13"/>
  <c r="J1034" i="13"/>
  <c r="I1035" i="13"/>
  <c r="J1035" i="13"/>
  <c r="I1036" i="13"/>
  <c r="J1036" i="13"/>
  <c r="I1037" i="13"/>
  <c r="J1037" i="13"/>
  <c r="I1038" i="13"/>
  <c r="J1038" i="13"/>
  <c r="I1039" i="13"/>
  <c r="J1039" i="13"/>
  <c r="I1040" i="13"/>
  <c r="J1040" i="13"/>
  <c r="I1041" i="13"/>
  <c r="J1041" i="13"/>
  <c r="I1042" i="13"/>
  <c r="J1042" i="13"/>
  <c r="I1043" i="13"/>
  <c r="J1043" i="13"/>
  <c r="I1044" i="13"/>
  <c r="J1044" i="13"/>
  <c r="I1045" i="13"/>
  <c r="J1045" i="13"/>
  <c r="I1046" i="13"/>
  <c r="J1046" i="13"/>
  <c r="I1047" i="13"/>
  <c r="J1047" i="13"/>
  <c r="I1048" i="13"/>
  <c r="J1048" i="13"/>
  <c r="I1049" i="13"/>
  <c r="J1049" i="13"/>
  <c r="I1050" i="13"/>
  <c r="J1050" i="13"/>
  <c r="I1051" i="13"/>
  <c r="J1051" i="13"/>
  <c r="I1052" i="13"/>
  <c r="J1052" i="13"/>
  <c r="I1053" i="13"/>
  <c r="J1053" i="13"/>
  <c r="I1054" i="13"/>
  <c r="J1054" i="13"/>
  <c r="I1055" i="13"/>
  <c r="J1055" i="13"/>
  <c r="I1056" i="13"/>
  <c r="J1056" i="13"/>
  <c r="I1057" i="13"/>
  <c r="J1057" i="13"/>
  <c r="I1058" i="13"/>
  <c r="J1058" i="13"/>
  <c r="I1059" i="13"/>
  <c r="J1059" i="13"/>
  <c r="I1060" i="13"/>
  <c r="J1060" i="13"/>
  <c r="I1061" i="13"/>
  <c r="J1061" i="13"/>
  <c r="I1062" i="13"/>
  <c r="J1062" i="13"/>
  <c r="I1063" i="13"/>
  <c r="J1063" i="13"/>
  <c r="I1064" i="13"/>
  <c r="J1064" i="13"/>
  <c r="I1065" i="13"/>
  <c r="J1065" i="13"/>
  <c r="I1066" i="13"/>
  <c r="J1066" i="13"/>
  <c r="I1067" i="13"/>
  <c r="J1067" i="13"/>
  <c r="I1068" i="13"/>
  <c r="J1068" i="13"/>
  <c r="I1069" i="13"/>
  <c r="J1069" i="13"/>
  <c r="I1070" i="13"/>
  <c r="J1070" i="13"/>
  <c r="I1071" i="13"/>
  <c r="J1071" i="13"/>
  <c r="I1072" i="13"/>
  <c r="J1072" i="13"/>
  <c r="I1073" i="13"/>
  <c r="J1073" i="13"/>
  <c r="I1074" i="13"/>
  <c r="J1074" i="13"/>
  <c r="I1075" i="13"/>
  <c r="J1075" i="13"/>
  <c r="I1076" i="13"/>
  <c r="J1076" i="13"/>
  <c r="I1077" i="13"/>
  <c r="J1077" i="13"/>
  <c r="I1078" i="13"/>
  <c r="J1078" i="13"/>
  <c r="I1079" i="13"/>
  <c r="J1079" i="13"/>
  <c r="I1080" i="13"/>
  <c r="J1080" i="13"/>
  <c r="I1081" i="13"/>
  <c r="J1081" i="13"/>
  <c r="I1082" i="13"/>
  <c r="J1082" i="13"/>
  <c r="I1083" i="13"/>
  <c r="J1083" i="13"/>
  <c r="I1084" i="13"/>
  <c r="J1084" i="13"/>
  <c r="I1085" i="13"/>
  <c r="J1085" i="13"/>
  <c r="I1086" i="13"/>
  <c r="J1086" i="13"/>
  <c r="I1087" i="13"/>
  <c r="J1087" i="13"/>
  <c r="I1088" i="13"/>
  <c r="J1088" i="13"/>
  <c r="I1089" i="13"/>
  <c r="J1089" i="13"/>
  <c r="I1090" i="13"/>
  <c r="J1090" i="13"/>
  <c r="I1091" i="13"/>
  <c r="J1091" i="13"/>
  <c r="I1092" i="13"/>
  <c r="J1092" i="13"/>
  <c r="I1093" i="13"/>
  <c r="J1093" i="13"/>
  <c r="I1094" i="13"/>
  <c r="J1094" i="13"/>
  <c r="I1095" i="13"/>
  <c r="J1095" i="13"/>
  <c r="I1096" i="13"/>
  <c r="J1096" i="13"/>
  <c r="I1097" i="13"/>
  <c r="J1097" i="13"/>
  <c r="I1098" i="13"/>
  <c r="J1098" i="13"/>
  <c r="I1099" i="13"/>
  <c r="J1099" i="13"/>
  <c r="I1100" i="13"/>
  <c r="J1100" i="13"/>
  <c r="I1101" i="13"/>
  <c r="J1101" i="13"/>
  <c r="I1102" i="13"/>
  <c r="J1102" i="13"/>
  <c r="I1103" i="13"/>
  <c r="J1103" i="13"/>
  <c r="I1104" i="13"/>
  <c r="J1104" i="13"/>
  <c r="I1105" i="13"/>
  <c r="J1105" i="13"/>
  <c r="I1106" i="13"/>
  <c r="J1106" i="13"/>
  <c r="I1107" i="13"/>
  <c r="J1107" i="13"/>
  <c r="I1108" i="13"/>
  <c r="J1108" i="13"/>
  <c r="I1109" i="13"/>
  <c r="J1109" i="13"/>
  <c r="I1110" i="13"/>
  <c r="J1110" i="13"/>
  <c r="I1111" i="13"/>
  <c r="J1111" i="13"/>
  <c r="I1112" i="13"/>
  <c r="J1112" i="13"/>
  <c r="I1113" i="13"/>
  <c r="J1113" i="13"/>
  <c r="I1114" i="13"/>
  <c r="J1114" i="13"/>
  <c r="I1115" i="13"/>
  <c r="J1115" i="13"/>
  <c r="I1116" i="13"/>
  <c r="J1116" i="13"/>
  <c r="I1117" i="13"/>
  <c r="J1117" i="13"/>
  <c r="I1118" i="13"/>
  <c r="J1118" i="13"/>
  <c r="I1119" i="13"/>
  <c r="J1119" i="13"/>
  <c r="I1120" i="13"/>
  <c r="J1120" i="13"/>
  <c r="I1121" i="13"/>
  <c r="J1121" i="13"/>
  <c r="I1122" i="13"/>
  <c r="J1122" i="13"/>
  <c r="I1123" i="13"/>
  <c r="J1123" i="13"/>
  <c r="I1124" i="13"/>
  <c r="J1124" i="13"/>
  <c r="I1125" i="13"/>
  <c r="J1125" i="13"/>
  <c r="I1126" i="13"/>
  <c r="J1126" i="13"/>
  <c r="I1127" i="13"/>
  <c r="J1127" i="13"/>
  <c r="I1128" i="13"/>
  <c r="J1128" i="13"/>
  <c r="I1129" i="13"/>
  <c r="J1129" i="13"/>
  <c r="I1130" i="13"/>
  <c r="J1130" i="13"/>
  <c r="I1131" i="13"/>
  <c r="J1131" i="13"/>
  <c r="I1132" i="13"/>
  <c r="J1132" i="13"/>
  <c r="I1133" i="13"/>
  <c r="J1133" i="13"/>
  <c r="I1134" i="13"/>
  <c r="J1134" i="13"/>
  <c r="I1135" i="13"/>
  <c r="J1135" i="13"/>
  <c r="I1136" i="13"/>
  <c r="J1136" i="13"/>
  <c r="I1137" i="13"/>
  <c r="J1137" i="13"/>
  <c r="I1138" i="13"/>
  <c r="J1138" i="13"/>
  <c r="I1139" i="13"/>
  <c r="J1139" i="13"/>
  <c r="I1140" i="13"/>
  <c r="J1140" i="13"/>
  <c r="I1141" i="13"/>
  <c r="J1141" i="13"/>
  <c r="I1142" i="13"/>
  <c r="J1142" i="13"/>
  <c r="I1143" i="13"/>
  <c r="J1143" i="13"/>
  <c r="I1144" i="13"/>
  <c r="J1144" i="13"/>
  <c r="I1145" i="13"/>
  <c r="J1145" i="13"/>
  <c r="I1146" i="13"/>
  <c r="J1146" i="13"/>
  <c r="I1147" i="13"/>
  <c r="J1147" i="13"/>
  <c r="I1148" i="13"/>
  <c r="J1148" i="13"/>
  <c r="I1149" i="13"/>
  <c r="J1149" i="13"/>
  <c r="I1150" i="13"/>
  <c r="J1150" i="13"/>
  <c r="I1151" i="13"/>
  <c r="J1151" i="13"/>
  <c r="I1152" i="13"/>
  <c r="J1152" i="13"/>
  <c r="I1153" i="13"/>
  <c r="J1153" i="13"/>
  <c r="I1154" i="13"/>
  <c r="J1154" i="13"/>
  <c r="I1155" i="13"/>
  <c r="J1155" i="13"/>
  <c r="I1156" i="13"/>
  <c r="J1156" i="13"/>
  <c r="I1157" i="13"/>
  <c r="J1157" i="13"/>
  <c r="I1158" i="13"/>
  <c r="J1158" i="13"/>
  <c r="I1159" i="13"/>
  <c r="J1159" i="13"/>
  <c r="I1160" i="13"/>
  <c r="J1160" i="13"/>
  <c r="I1161" i="13"/>
  <c r="J1161" i="13"/>
  <c r="I1162" i="13"/>
  <c r="J1162" i="13"/>
  <c r="I1163" i="13"/>
  <c r="J1163" i="13"/>
  <c r="I1164" i="13"/>
  <c r="J1164" i="13"/>
  <c r="I1165" i="13"/>
  <c r="J1165" i="13"/>
  <c r="I1166" i="13"/>
  <c r="J1166" i="13"/>
  <c r="I1167" i="13"/>
  <c r="J1167" i="13"/>
  <c r="I1168" i="13"/>
  <c r="J1168" i="13"/>
  <c r="I1169" i="13"/>
  <c r="J1169" i="13"/>
  <c r="I1170" i="13"/>
  <c r="J1170" i="13"/>
  <c r="I1171" i="13"/>
  <c r="J1171" i="13"/>
  <c r="I1172" i="13"/>
  <c r="J1172" i="13"/>
  <c r="I1173" i="13"/>
  <c r="J1173" i="13"/>
  <c r="I1174" i="13"/>
  <c r="J1174" i="13"/>
  <c r="I1175" i="13"/>
  <c r="J1175" i="13"/>
  <c r="I1176" i="13"/>
  <c r="J1176" i="13"/>
  <c r="I1177" i="13"/>
  <c r="J1177" i="13"/>
  <c r="I1178" i="13"/>
  <c r="J1178" i="13"/>
  <c r="I1179" i="13"/>
  <c r="J1179" i="13"/>
  <c r="I1180" i="13"/>
  <c r="J1180" i="13"/>
  <c r="I1181" i="13"/>
  <c r="J1181" i="13"/>
  <c r="I1182" i="13"/>
  <c r="J1182" i="13"/>
  <c r="I1183" i="13"/>
  <c r="J1183" i="13"/>
  <c r="I1184" i="13"/>
  <c r="J1184" i="13"/>
  <c r="I1185" i="13"/>
  <c r="J1185" i="13"/>
  <c r="I1186" i="13"/>
  <c r="J1186" i="13"/>
  <c r="I1187" i="13"/>
  <c r="J1187" i="13"/>
  <c r="I1188" i="13"/>
  <c r="J1188" i="13"/>
  <c r="I1189" i="13"/>
  <c r="J1189" i="13"/>
  <c r="I1190" i="13"/>
  <c r="J1190" i="13"/>
  <c r="I1191" i="13"/>
  <c r="J1191" i="13"/>
  <c r="I1192" i="13"/>
  <c r="J1192" i="13"/>
  <c r="I1193" i="13"/>
  <c r="J1193" i="13"/>
  <c r="I1194" i="13"/>
  <c r="J1194" i="13"/>
  <c r="I1195" i="13"/>
  <c r="J1195" i="13"/>
  <c r="I1196" i="13"/>
  <c r="J1196" i="13"/>
  <c r="I1197" i="13"/>
  <c r="J1197" i="13"/>
  <c r="I1198" i="13"/>
  <c r="J1198" i="13"/>
  <c r="I1199" i="13"/>
  <c r="J1199" i="13"/>
  <c r="I1200" i="13"/>
  <c r="J1200" i="13"/>
  <c r="I1201" i="13"/>
  <c r="J1201" i="13"/>
  <c r="I1202" i="13"/>
  <c r="J1202" i="13"/>
  <c r="I1203" i="13"/>
  <c r="J1203" i="13"/>
  <c r="I1204" i="13"/>
  <c r="J1204" i="13"/>
  <c r="I1205" i="13"/>
  <c r="J1205" i="13"/>
  <c r="I1206" i="13"/>
  <c r="J1206" i="13"/>
  <c r="I1207" i="13"/>
  <c r="J1207" i="13"/>
  <c r="I1208" i="13"/>
  <c r="J1208" i="13"/>
  <c r="I1209" i="13"/>
  <c r="J1209" i="13"/>
  <c r="I1210" i="13"/>
  <c r="J1210" i="13"/>
  <c r="I1211" i="13"/>
  <c r="J1211" i="13"/>
  <c r="I1212" i="13"/>
  <c r="J1212" i="13"/>
  <c r="I1213" i="13"/>
  <c r="J1213" i="13"/>
  <c r="I1214" i="13"/>
  <c r="J1214" i="13"/>
  <c r="I1215" i="13"/>
  <c r="J1215" i="13"/>
  <c r="I1216" i="13"/>
  <c r="J1216" i="13"/>
  <c r="I1217" i="13"/>
  <c r="J1217" i="13"/>
  <c r="I1218" i="13"/>
  <c r="J1218" i="13"/>
  <c r="I1219" i="13"/>
  <c r="J1219" i="13"/>
  <c r="I1220" i="13"/>
  <c r="J1220" i="13"/>
  <c r="I1221" i="13"/>
  <c r="J1221" i="13"/>
  <c r="I1222" i="13"/>
  <c r="J1222" i="13"/>
  <c r="I1223" i="13"/>
  <c r="J1223" i="13"/>
  <c r="I1224" i="13"/>
  <c r="J1224" i="13"/>
  <c r="I1225" i="13"/>
  <c r="J1225" i="13"/>
  <c r="I1226" i="13"/>
  <c r="J1226" i="13"/>
  <c r="I1227" i="13"/>
  <c r="J1227" i="13"/>
  <c r="I1228" i="13"/>
  <c r="J1228" i="13"/>
  <c r="I1229" i="13"/>
  <c r="J1229" i="13"/>
  <c r="I1230" i="13"/>
  <c r="J1230" i="13"/>
  <c r="I1231" i="13"/>
  <c r="J1231" i="13"/>
  <c r="I1232" i="13"/>
  <c r="J1232" i="13"/>
  <c r="I1233" i="13"/>
  <c r="J1233" i="13"/>
  <c r="I1234" i="13"/>
  <c r="J1234" i="13"/>
  <c r="I1235" i="13"/>
  <c r="J1235" i="13"/>
  <c r="I1236" i="13"/>
  <c r="J1236" i="13"/>
  <c r="I1237" i="13"/>
  <c r="J1237" i="13"/>
  <c r="I1238" i="13"/>
  <c r="J1238" i="13"/>
  <c r="I1239" i="13"/>
  <c r="J1239" i="13"/>
  <c r="I1240" i="13"/>
  <c r="J1240" i="13"/>
  <c r="I1241" i="13"/>
  <c r="J1241" i="13"/>
  <c r="I1242" i="13"/>
  <c r="J1242" i="13"/>
  <c r="I1243" i="13"/>
  <c r="J1243" i="13"/>
  <c r="I1244" i="13"/>
  <c r="J1244" i="13"/>
  <c r="I1245" i="13"/>
  <c r="J1245" i="13"/>
  <c r="I1246" i="13"/>
  <c r="J1246" i="13"/>
  <c r="I1247" i="13"/>
  <c r="J1247" i="13"/>
  <c r="I1248" i="13"/>
  <c r="J1248" i="13"/>
  <c r="I1249" i="13"/>
  <c r="J1249" i="13"/>
  <c r="I1250" i="13"/>
  <c r="J1250" i="13"/>
  <c r="I1251" i="13"/>
  <c r="J1251" i="13"/>
  <c r="I1252" i="13"/>
  <c r="J1252" i="13"/>
  <c r="I1253" i="13"/>
  <c r="J1253" i="13"/>
  <c r="I1254" i="13"/>
  <c r="J1254" i="13"/>
  <c r="I1255" i="13"/>
  <c r="J1255" i="13"/>
  <c r="I1256" i="13"/>
  <c r="J1256" i="13"/>
  <c r="I1257" i="13"/>
  <c r="J1257" i="13"/>
  <c r="I1258" i="13"/>
  <c r="J1258" i="13"/>
  <c r="I1259" i="13"/>
  <c r="J1259" i="13"/>
  <c r="I1260" i="13"/>
  <c r="J1260" i="13"/>
  <c r="I1261" i="13"/>
  <c r="J1261" i="13"/>
  <c r="I1262" i="13"/>
  <c r="J1262" i="13"/>
  <c r="I1263" i="13"/>
  <c r="J1263" i="13"/>
  <c r="I1264" i="13"/>
  <c r="J1264" i="13"/>
  <c r="I1265" i="13"/>
  <c r="J1265" i="13"/>
  <c r="I1266" i="13"/>
  <c r="J1266" i="13"/>
  <c r="I1267" i="13"/>
  <c r="J1267" i="13"/>
  <c r="I1268" i="13"/>
  <c r="J1268" i="13"/>
  <c r="I1269" i="13"/>
  <c r="J1269" i="13"/>
  <c r="I1270" i="13"/>
  <c r="J1270" i="13"/>
  <c r="I1271" i="13"/>
  <c r="J1271" i="13"/>
  <c r="I1272" i="13"/>
  <c r="J1272" i="13"/>
  <c r="I1273" i="13"/>
  <c r="J1273" i="13"/>
  <c r="I1274" i="13"/>
  <c r="J1274" i="13"/>
  <c r="I1275" i="13"/>
  <c r="J1275" i="13"/>
  <c r="I1276" i="13"/>
  <c r="J1276" i="13"/>
  <c r="I1277" i="13"/>
  <c r="J1277" i="13"/>
  <c r="I1278" i="13"/>
  <c r="J1278" i="13"/>
  <c r="I1279" i="13"/>
  <c r="J1279" i="13"/>
  <c r="I1280" i="13"/>
  <c r="J1280" i="13"/>
  <c r="I1281" i="13"/>
  <c r="J1281" i="13"/>
  <c r="I1282" i="13"/>
  <c r="J1282" i="13"/>
  <c r="I1283" i="13"/>
  <c r="J1283" i="13"/>
  <c r="I1284" i="13"/>
  <c r="J1284" i="13"/>
  <c r="I1285" i="13"/>
  <c r="J1285" i="13"/>
  <c r="I1286" i="13"/>
  <c r="J1286" i="13"/>
  <c r="I1287" i="13"/>
  <c r="J1287" i="13"/>
  <c r="I1288" i="13"/>
  <c r="J1288" i="13"/>
  <c r="I1289" i="13"/>
  <c r="J1289" i="13"/>
  <c r="I1290" i="13"/>
  <c r="J1290" i="13"/>
  <c r="I1291" i="13"/>
  <c r="J1291" i="13"/>
  <c r="I1292" i="13"/>
  <c r="J1292" i="13"/>
  <c r="I1293" i="13"/>
  <c r="J1293" i="13"/>
  <c r="I1294" i="13"/>
  <c r="J1294" i="13"/>
  <c r="I1295" i="13"/>
  <c r="J1295" i="13"/>
  <c r="I1296" i="13"/>
  <c r="J1296" i="13"/>
  <c r="I1297" i="13"/>
  <c r="J1297" i="13"/>
  <c r="I1298" i="13"/>
  <c r="J1298" i="13"/>
  <c r="I1299" i="13"/>
  <c r="J1299" i="13"/>
  <c r="I1300" i="13"/>
  <c r="J1300" i="13"/>
  <c r="I1301" i="13"/>
  <c r="J1301" i="13"/>
  <c r="I1302" i="13"/>
  <c r="J1302" i="13"/>
  <c r="I1303" i="13"/>
  <c r="J1303" i="13"/>
  <c r="I1304" i="13"/>
  <c r="J1304" i="13"/>
  <c r="I1305" i="13"/>
  <c r="J1305" i="13"/>
  <c r="I1306" i="13"/>
  <c r="J1306" i="13"/>
  <c r="I1307" i="13"/>
  <c r="J1307" i="13"/>
  <c r="I1308" i="13"/>
  <c r="J1308" i="13"/>
  <c r="I1309" i="13"/>
  <c r="J1309" i="13"/>
  <c r="I1310" i="13"/>
  <c r="J1310" i="13"/>
  <c r="I1311" i="13"/>
  <c r="J1311" i="13"/>
  <c r="I1312" i="13"/>
  <c r="J1312" i="13"/>
  <c r="I1313" i="13"/>
  <c r="J1313" i="13"/>
  <c r="I1314" i="13"/>
  <c r="J1314" i="13"/>
  <c r="I1315" i="13"/>
  <c r="J1315" i="13"/>
  <c r="I1316" i="13"/>
  <c r="J1316" i="13"/>
  <c r="I1317" i="13"/>
  <c r="J1317" i="13"/>
  <c r="I1318" i="13"/>
  <c r="J1318" i="13"/>
  <c r="I1319" i="13"/>
  <c r="J1319" i="13"/>
  <c r="I1320" i="13"/>
  <c r="J1320" i="13"/>
  <c r="I1321" i="13"/>
  <c r="J1321" i="13"/>
  <c r="I1322" i="13"/>
  <c r="J1322" i="13"/>
  <c r="I1323" i="13"/>
  <c r="J1323" i="13"/>
  <c r="I1324" i="13"/>
  <c r="J1324" i="13"/>
  <c r="I1325" i="13"/>
  <c r="J1325" i="13"/>
  <c r="I1326" i="13"/>
  <c r="J1326" i="13"/>
  <c r="I1327" i="13"/>
  <c r="J1327" i="13"/>
  <c r="I1328" i="13"/>
  <c r="J1328" i="13"/>
  <c r="I1329" i="13"/>
  <c r="J1329" i="13"/>
  <c r="I1330" i="13"/>
  <c r="J1330" i="13"/>
  <c r="I1331" i="13"/>
  <c r="J1331" i="13"/>
  <c r="I1332" i="13"/>
  <c r="J1332" i="13"/>
  <c r="I1333" i="13"/>
  <c r="J1333" i="13"/>
  <c r="I1334" i="13"/>
  <c r="J1334" i="13"/>
  <c r="I1335" i="13"/>
  <c r="J1335" i="13"/>
  <c r="I1336" i="13"/>
  <c r="J1336" i="13"/>
  <c r="I1337" i="13"/>
  <c r="J1337" i="13"/>
  <c r="I1338" i="13"/>
  <c r="J1338" i="13"/>
  <c r="I1339" i="13"/>
  <c r="J1339" i="13"/>
  <c r="I1340" i="13"/>
  <c r="J1340" i="13"/>
  <c r="I1341" i="13"/>
  <c r="J1341" i="13"/>
  <c r="I1342" i="13"/>
  <c r="J1342" i="13"/>
  <c r="I1343" i="13"/>
  <c r="J1343" i="13"/>
  <c r="I1344" i="13"/>
  <c r="J1344" i="13"/>
  <c r="I1345" i="13"/>
  <c r="J1345" i="13"/>
  <c r="I1346" i="13"/>
  <c r="J1346" i="13"/>
  <c r="I1347" i="13"/>
  <c r="J1347" i="13"/>
  <c r="I1348" i="13"/>
  <c r="J1348" i="13"/>
  <c r="I1349" i="13"/>
  <c r="J1349" i="13"/>
  <c r="I1350" i="13"/>
  <c r="J1350" i="13"/>
  <c r="I1351" i="13"/>
  <c r="J1351" i="13"/>
  <c r="I1352" i="13"/>
  <c r="J1352" i="13"/>
  <c r="I1353" i="13"/>
  <c r="J1353" i="13"/>
  <c r="I1354" i="13"/>
  <c r="J1354" i="13"/>
  <c r="I1355" i="13"/>
  <c r="J1355" i="13"/>
  <c r="I1356" i="13"/>
  <c r="J1356" i="13"/>
  <c r="I1357" i="13"/>
  <c r="J1357" i="13"/>
  <c r="I1358" i="13"/>
  <c r="J1358" i="13"/>
  <c r="I1359" i="13"/>
  <c r="J1359" i="13"/>
  <c r="I1360" i="13"/>
  <c r="J1360" i="13"/>
  <c r="I1361" i="13"/>
  <c r="J1361" i="13"/>
  <c r="I1362" i="13"/>
  <c r="J1362" i="13"/>
  <c r="I1363" i="13"/>
  <c r="J1363" i="13"/>
  <c r="I1364" i="13"/>
  <c r="J1364" i="13"/>
  <c r="I1365" i="13"/>
  <c r="J1365" i="13"/>
  <c r="I1366" i="13"/>
  <c r="J1366" i="13"/>
  <c r="I1367" i="13"/>
  <c r="J1367" i="13"/>
  <c r="I1368" i="13"/>
  <c r="J1368" i="13"/>
  <c r="I1369" i="13"/>
  <c r="J1369" i="13"/>
  <c r="I1370" i="13"/>
  <c r="J1370" i="13"/>
  <c r="I1371" i="13"/>
  <c r="J1371" i="13"/>
  <c r="I1372" i="13"/>
  <c r="J1372" i="13"/>
  <c r="I1373" i="13"/>
  <c r="J1373" i="13"/>
  <c r="I1374" i="13"/>
  <c r="J1374" i="13"/>
  <c r="I1375" i="13"/>
  <c r="J1375" i="13"/>
  <c r="I1376" i="13"/>
  <c r="J1376" i="13"/>
  <c r="I1377" i="13"/>
  <c r="J1377" i="13"/>
  <c r="I1378" i="13"/>
  <c r="J1378" i="13"/>
  <c r="I1379" i="13"/>
  <c r="J1379" i="13"/>
  <c r="I1380" i="13"/>
  <c r="J1380" i="13"/>
  <c r="I1381" i="13"/>
  <c r="J1381" i="13"/>
  <c r="I1382" i="13"/>
  <c r="J1382" i="13"/>
  <c r="I1383" i="13"/>
  <c r="J1383" i="13"/>
  <c r="I1384" i="13"/>
  <c r="J1384" i="13"/>
  <c r="I1385" i="13"/>
  <c r="J1385" i="13"/>
  <c r="I1386" i="13"/>
  <c r="J1386" i="13"/>
  <c r="I1387" i="13"/>
  <c r="J1387" i="13"/>
  <c r="I1388" i="13"/>
  <c r="J1388" i="13"/>
  <c r="I1389" i="13"/>
  <c r="J1389" i="13"/>
  <c r="I1390" i="13"/>
  <c r="J1390" i="13"/>
  <c r="I1391" i="13"/>
  <c r="J1391" i="13"/>
  <c r="I1392" i="13"/>
  <c r="J1392" i="13"/>
  <c r="I1393" i="13"/>
  <c r="J1393" i="13"/>
  <c r="I1394" i="13"/>
  <c r="J1394" i="13"/>
  <c r="I1395" i="13"/>
  <c r="J1395" i="13"/>
  <c r="I1396" i="13"/>
  <c r="J1396" i="13"/>
  <c r="I1397" i="13"/>
  <c r="J1397" i="13"/>
  <c r="I1398" i="13"/>
  <c r="J1398" i="13"/>
  <c r="I1399" i="13"/>
  <c r="J1399" i="13"/>
  <c r="I1400" i="13"/>
  <c r="J1400" i="13"/>
  <c r="I1401" i="13"/>
  <c r="J1401" i="13"/>
  <c r="I1402" i="13"/>
  <c r="J1402" i="13"/>
  <c r="I1403" i="13"/>
  <c r="J1403" i="13"/>
  <c r="I1404" i="13"/>
  <c r="J1404" i="13"/>
  <c r="I1405" i="13"/>
  <c r="J1405" i="13"/>
  <c r="I1406" i="13"/>
  <c r="J1406" i="13"/>
  <c r="I1407" i="13"/>
  <c r="J1407" i="13"/>
  <c r="I1408" i="13"/>
  <c r="J1408" i="13"/>
  <c r="I1409" i="13"/>
  <c r="J1409" i="13"/>
  <c r="I1410" i="13"/>
  <c r="J1410" i="13"/>
  <c r="I1411" i="13"/>
  <c r="J1411" i="13"/>
  <c r="I1412" i="13"/>
  <c r="J1412" i="13"/>
  <c r="I1413" i="13"/>
  <c r="J1413" i="13"/>
  <c r="I1414" i="13"/>
  <c r="J1414" i="13"/>
  <c r="I1415" i="13"/>
  <c r="J1415" i="13"/>
  <c r="I1416" i="13"/>
  <c r="J1416" i="13"/>
  <c r="I1417" i="13"/>
  <c r="J1417" i="13"/>
  <c r="I1418" i="13"/>
  <c r="J1418" i="13"/>
  <c r="I1419" i="13"/>
  <c r="J1419" i="13"/>
  <c r="I1420" i="13"/>
  <c r="J1420" i="13"/>
  <c r="I1421" i="13"/>
  <c r="J1421" i="13"/>
  <c r="I1422" i="13"/>
  <c r="J1422" i="13"/>
  <c r="I1423" i="13"/>
  <c r="J1423" i="13"/>
  <c r="I1424" i="13"/>
  <c r="J1424" i="13"/>
  <c r="I1425" i="13"/>
  <c r="J1425" i="13"/>
  <c r="I1426" i="13"/>
  <c r="J1426" i="13"/>
  <c r="I1427" i="13"/>
  <c r="J1427" i="13"/>
  <c r="I1428" i="13"/>
  <c r="J1428" i="13"/>
  <c r="I1429" i="13"/>
  <c r="J1429" i="13"/>
  <c r="I1430" i="13"/>
  <c r="J1430" i="13"/>
  <c r="I1431" i="13"/>
  <c r="J1431" i="13"/>
  <c r="I1432" i="13"/>
  <c r="J1432" i="13"/>
  <c r="I1433" i="13"/>
  <c r="J1433" i="13"/>
  <c r="I1434" i="13"/>
  <c r="J1434" i="13"/>
  <c r="I1435" i="13"/>
  <c r="J1435" i="13"/>
  <c r="I1436" i="13"/>
  <c r="J1436" i="13"/>
  <c r="I1437" i="13"/>
  <c r="J1437" i="13"/>
  <c r="I1438" i="13"/>
  <c r="J1438" i="13"/>
  <c r="I1439" i="13"/>
  <c r="J1439" i="13"/>
  <c r="I1440" i="13"/>
  <c r="J1440" i="13"/>
  <c r="I1441" i="13"/>
  <c r="J1441" i="13"/>
  <c r="I1442" i="13"/>
  <c r="J1442" i="13"/>
  <c r="I1443" i="13"/>
  <c r="J1443" i="13"/>
  <c r="I1444" i="13"/>
  <c r="J1444" i="13"/>
  <c r="I1445" i="13"/>
  <c r="J1445" i="13"/>
  <c r="I1446" i="13"/>
  <c r="J1446" i="13"/>
  <c r="I1447" i="13"/>
  <c r="J1447" i="13"/>
  <c r="I1448" i="13"/>
  <c r="J1448" i="13"/>
  <c r="I1449" i="13"/>
  <c r="J1449" i="13"/>
  <c r="I1450" i="13"/>
  <c r="J1450" i="13"/>
  <c r="I1451" i="13"/>
  <c r="J1451" i="13"/>
  <c r="I1452" i="13"/>
  <c r="J1452" i="13"/>
  <c r="I1453" i="13"/>
  <c r="J1453" i="13"/>
  <c r="I1454" i="13"/>
  <c r="J1454" i="13"/>
  <c r="I1455" i="13"/>
  <c r="J1455" i="13"/>
  <c r="I1456" i="13"/>
  <c r="J1456" i="13"/>
  <c r="I1457" i="13"/>
  <c r="J1457" i="13"/>
  <c r="I1458" i="13"/>
  <c r="J1458" i="13"/>
  <c r="I1459" i="13"/>
  <c r="J1459" i="13"/>
  <c r="I1460" i="13"/>
  <c r="J1460" i="13"/>
  <c r="I1461" i="13"/>
  <c r="J1461" i="13"/>
  <c r="I1462" i="13"/>
  <c r="J1462" i="13"/>
  <c r="I1463" i="13"/>
  <c r="J1463" i="13"/>
  <c r="I1464" i="13"/>
  <c r="J1464" i="13"/>
  <c r="I1465" i="13"/>
  <c r="J1465" i="13"/>
  <c r="I1466" i="13"/>
  <c r="J1466" i="13"/>
  <c r="I1467" i="13"/>
  <c r="J1467" i="13"/>
  <c r="I1468" i="13"/>
  <c r="J1468" i="13"/>
  <c r="I1469" i="13"/>
  <c r="J1469" i="13"/>
  <c r="I1470" i="13"/>
  <c r="J1470" i="13"/>
  <c r="I1471" i="13"/>
  <c r="J1471" i="13"/>
  <c r="I1472" i="13"/>
  <c r="J1472" i="13"/>
  <c r="I1473" i="13"/>
  <c r="J1473" i="13"/>
  <c r="I1474" i="13"/>
  <c r="J1474" i="13"/>
  <c r="I1475" i="13"/>
  <c r="J1475" i="13"/>
  <c r="I1476" i="13"/>
  <c r="J1476" i="13"/>
  <c r="I1477" i="13"/>
  <c r="J1477" i="13"/>
  <c r="I1478" i="13"/>
  <c r="J1478" i="13"/>
  <c r="I1479" i="13"/>
  <c r="J1479" i="13"/>
  <c r="I1480" i="13"/>
  <c r="J1480" i="13"/>
  <c r="I1481" i="13"/>
  <c r="J1481" i="13"/>
  <c r="I1482" i="13"/>
  <c r="J1482" i="13"/>
  <c r="I1483" i="13"/>
  <c r="J1483" i="13"/>
  <c r="I1484" i="13"/>
  <c r="J1484" i="13"/>
  <c r="I1485" i="13"/>
  <c r="J1485" i="13"/>
  <c r="I1486" i="13"/>
  <c r="J1486" i="13"/>
  <c r="I1487" i="13"/>
  <c r="J1487" i="13"/>
  <c r="I1488" i="13"/>
  <c r="J1488" i="13"/>
  <c r="I1489" i="13"/>
  <c r="J1489" i="13"/>
  <c r="I1490" i="13"/>
  <c r="J1490" i="13"/>
  <c r="I1491" i="13"/>
  <c r="J1491" i="13"/>
  <c r="I1492" i="13"/>
  <c r="J1492" i="13"/>
  <c r="I1493" i="13"/>
  <c r="J1493" i="13"/>
  <c r="I1494" i="13"/>
  <c r="J1494" i="13"/>
  <c r="I1495" i="13"/>
  <c r="J1495" i="13"/>
  <c r="I1496" i="13"/>
  <c r="J1496" i="13"/>
  <c r="I1497" i="13"/>
  <c r="J1497" i="13"/>
  <c r="I1498" i="13"/>
  <c r="J1498" i="13"/>
  <c r="I1499" i="13"/>
  <c r="J1499" i="13"/>
  <c r="I1500" i="13"/>
  <c r="J1500" i="13"/>
  <c r="I1501" i="13"/>
  <c r="J1501" i="13"/>
  <c r="I1502" i="13"/>
  <c r="J1502" i="13"/>
  <c r="I1503" i="13"/>
  <c r="J1503" i="13"/>
  <c r="I1504" i="13"/>
  <c r="J1504" i="13"/>
  <c r="I1505" i="13"/>
  <c r="J1505" i="13"/>
  <c r="I1506" i="13"/>
  <c r="J1506" i="13"/>
  <c r="I1507" i="13"/>
  <c r="J1507" i="13"/>
  <c r="I1508" i="13"/>
  <c r="J1508" i="13"/>
  <c r="I1509" i="13"/>
  <c r="J1509" i="13"/>
  <c r="I1510" i="13"/>
  <c r="J1510" i="13"/>
  <c r="I1511" i="13"/>
  <c r="J1511" i="13"/>
  <c r="I1512" i="13"/>
  <c r="J1512" i="13"/>
  <c r="I1513" i="13"/>
  <c r="J1513" i="13"/>
  <c r="I1514" i="13"/>
  <c r="J1514" i="13"/>
  <c r="I1515" i="13"/>
  <c r="J1515" i="13"/>
  <c r="I1516" i="13"/>
  <c r="J1516" i="13"/>
  <c r="I1517" i="13"/>
  <c r="J1517" i="13"/>
  <c r="I1518" i="13"/>
  <c r="J1518" i="13"/>
  <c r="I1519" i="13"/>
  <c r="J1519" i="13"/>
  <c r="I1520" i="13"/>
  <c r="J1520" i="13"/>
  <c r="I1521" i="13"/>
  <c r="J1521" i="13"/>
  <c r="I1522" i="13"/>
  <c r="J1522" i="13"/>
  <c r="I1523" i="13"/>
  <c r="J1523" i="13"/>
  <c r="I1524" i="13"/>
  <c r="J1524" i="13"/>
  <c r="I1525" i="13"/>
  <c r="J1525" i="13"/>
  <c r="I1526" i="13"/>
  <c r="J1526" i="13"/>
  <c r="N5" i="50"/>
  <c r="O5" i="50"/>
  <c r="N5" i="51"/>
  <c r="O5" i="51"/>
  <c r="I5" i="50"/>
  <c r="J5" i="50"/>
  <c r="I5" i="51"/>
  <c r="J5" i="51"/>
  <c r="X15" i="49"/>
  <c r="V15" i="49" s="1"/>
  <c r="W2" i="54"/>
  <c r="A587" i="64" s="1"/>
  <c r="AC2" i="55"/>
  <c r="K5" i="58" l="1"/>
  <c r="N56" i="49"/>
  <c r="K3" i="57"/>
  <c r="H6" i="69"/>
  <c r="J64" i="49"/>
  <c r="G6" i="69"/>
  <c r="H64" i="49"/>
  <c r="H54" i="13"/>
  <c r="G54" i="13"/>
  <c r="J9" i="54"/>
  <c r="J9" i="53"/>
  <c r="J8" i="54"/>
  <c r="J8" i="53"/>
  <c r="J7" i="54"/>
  <c r="J7" i="53"/>
  <c r="J5" i="54"/>
  <c r="J5" i="53"/>
  <c r="J5" i="57"/>
  <c r="J5" i="52"/>
  <c r="J6" i="56"/>
  <c r="O9" i="54"/>
  <c r="O9" i="53"/>
  <c r="O8" i="54"/>
  <c r="O8" i="53"/>
  <c r="O7" i="54"/>
  <c r="O7" i="53"/>
  <c r="O5" i="54"/>
  <c r="O5" i="58"/>
  <c r="O5" i="53"/>
  <c r="O5" i="57"/>
  <c r="O5" i="52"/>
  <c r="O6" i="56"/>
  <c r="I9" i="54"/>
  <c r="I9" i="53"/>
  <c r="I8" i="54"/>
  <c r="I8" i="53"/>
  <c r="I7" i="54"/>
  <c r="I7" i="53"/>
  <c r="I5" i="54"/>
  <c r="I5" i="53"/>
  <c r="I5" i="57"/>
  <c r="I5" i="52"/>
  <c r="I6" i="56"/>
  <c r="N9" i="54"/>
  <c r="N9" i="53"/>
  <c r="N8" i="54"/>
  <c r="N8" i="53"/>
  <c r="N7" i="54"/>
  <c r="N7" i="53"/>
  <c r="N5" i="54"/>
  <c r="N5" i="58"/>
  <c r="N5" i="53"/>
  <c r="N5" i="57"/>
  <c r="N5" i="52"/>
  <c r="N6" i="56"/>
  <c r="K3" i="67"/>
  <c r="N49" i="49"/>
  <c r="X2" i="55"/>
  <c r="W2" i="55"/>
  <c r="V2" i="55"/>
  <c r="A647" i="64"/>
  <c r="X2" i="54"/>
  <c r="A586" i="64"/>
  <c r="J3" i="50"/>
  <c r="O3" i="52"/>
  <c r="O3" i="50"/>
  <c r="I3" i="50"/>
  <c r="N3" i="52"/>
  <c r="N3" i="50"/>
  <c r="N29" i="49"/>
  <c r="L29" i="49" s="1"/>
  <c r="J41" i="49"/>
  <c r="H41" i="49"/>
  <c r="J3" i="67"/>
  <c r="I3" i="67"/>
  <c r="K46" i="13"/>
  <c r="P3" i="54"/>
  <c r="K4" i="13"/>
  <c r="W28" i="49"/>
  <c r="W24" i="49"/>
  <c r="W26" i="49"/>
  <c r="W22" i="49"/>
  <c r="W15" i="49"/>
  <c r="W27" i="49"/>
  <c r="W25" i="49"/>
  <c r="W23" i="49"/>
  <c r="R2" i="60"/>
  <c r="Q2" i="60"/>
  <c r="P2" i="60"/>
  <c r="M2" i="60"/>
  <c r="L2" i="60"/>
  <c r="F2" i="60"/>
  <c r="E2" i="60"/>
  <c r="D2" i="60"/>
  <c r="R2" i="59"/>
  <c r="B302" i="66" s="1"/>
  <c r="Q2" i="59"/>
  <c r="P2" i="59"/>
  <c r="M2" i="59"/>
  <c r="L2" i="59"/>
  <c r="F2" i="59"/>
  <c r="E2" i="59"/>
  <c r="D2" i="59"/>
  <c r="R2" i="58"/>
  <c r="B178" i="66" s="1"/>
  <c r="Q2" i="58"/>
  <c r="P2" i="58"/>
  <c r="M2" i="58"/>
  <c r="L2" i="58"/>
  <c r="F2" i="58"/>
  <c r="E2" i="58"/>
  <c r="D2" i="58"/>
  <c r="K2" i="58" l="1"/>
  <c r="K5" i="59"/>
  <c r="N57" i="49"/>
  <c r="K3" i="58"/>
  <c r="L56" i="49"/>
  <c r="M56" i="49"/>
  <c r="G6" i="55"/>
  <c r="H65" i="49"/>
  <c r="H6" i="55"/>
  <c r="J65" i="49"/>
  <c r="A199" i="66"/>
  <c r="I5" i="58"/>
  <c r="J5" i="58"/>
  <c r="H55" i="13"/>
  <c r="G55" i="13"/>
  <c r="L49" i="49"/>
  <c r="M49" i="49"/>
  <c r="N4" i="51"/>
  <c r="N4" i="57"/>
  <c r="K4" i="51"/>
  <c r="K4" i="57"/>
  <c r="O4" i="51"/>
  <c r="O4" i="57"/>
  <c r="M29" i="49"/>
  <c r="N15" i="49"/>
  <c r="L15" i="49" s="1"/>
  <c r="N43" i="49"/>
  <c r="A169" i="66"/>
  <c r="A136" i="66"/>
  <c r="A124" i="66"/>
  <c r="A248" i="66"/>
  <c r="A293" i="66"/>
  <c r="A260" i="66"/>
  <c r="N30" i="49"/>
  <c r="A20" i="70"/>
  <c r="A8" i="70"/>
  <c r="A54" i="70"/>
  <c r="K3" i="53"/>
  <c r="J3" i="52"/>
  <c r="N3" i="53"/>
  <c r="O3" i="53"/>
  <c r="I3" i="52"/>
  <c r="J5" i="59"/>
  <c r="I5" i="59"/>
  <c r="K47" i="13"/>
  <c r="P3" i="55"/>
  <c r="X29" i="49"/>
  <c r="X16" i="49"/>
  <c r="K5" i="13"/>
  <c r="R2" i="57"/>
  <c r="Q2" i="57"/>
  <c r="P2" i="57"/>
  <c r="M2" i="57"/>
  <c r="L2" i="57"/>
  <c r="F2" i="57"/>
  <c r="E2" i="57"/>
  <c r="D2" i="57"/>
  <c r="P20" i="74" s="1"/>
  <c r="R2" i="56"/>
  <c r="Q2" i="56"/>
  <c r="M2" i="56"/>
  <c r="L2" i="56"/>
  <c r="F2" i="56"/>
  <c r="E2" i="56"/>
  <c r="D2" i="56"/>
  <c r="R2" i="55"/>
  <c r="Q2" i="55"/>
  <c r="M2" i="55"/>
  <c r="L2" i="55"/>
  <c r="F2" i="55"/>
  <c r="E2" i="55"/>
  <c r="D2" i="55"/>
  <c r="R2" i="54"/>
  <c r="Q2" i="54"/>
  <c r="M2" i="54"/>
  <c r="L2" i="54"/>
  <c r="F2" i="54"/>
  <c r="E2" i="54"/>
  <c r="D2" i="54"/>
  <c r="R2" i="53"/>
  <c r="Q2" i="53"/>
  <c r="P2" i="53"/>
  <c r="M2" i="53"/>
  <c r="L2" i="53"/>
  <c r="F2" i="53"/>
  <c r="E2" i="53"/>
  <c r="D2" i="53"/>
  <c r="R2" i="52"/>
  <c r="Q2" i="52"/>
  <c r="P2" i="52"/>
  <c r="M2" i="52"/>
  <c r="L2" i="52"/>
  <c r="F2" i="52"/>
  <c r="E2" i="52"/>
  <c r="D2" i="52"/>
  <c r="R2" i="51"/>
  <c r="Q2" i="51"/>
  <c r="P2" i="51"/>
  <c r="M2" i="51"/>
  <c r="L2" i="51"/>
  <c r="K2" i="51"/>
  <c r="F2" i="51"/>
  <c r="E2" i="51"/>
  <c r="D2" i="51"/>
  <c r="R2" i="50"/>
  <c r="Q2" i="50"/>
  <c r="P2" i="50"/>
  <c r="M2" i="50"/>
  <c r="L2" i="50"/>
  <c r="F2" i="50"/>
  <c r="E2" i="50"/>
  <c r="D2" i="50"/>
  <c r="P3" i="74" s="1"/>
  <c r="J2" i="58"/>
  <c r="I2" i="58"/>
  <c r="N2" i="58"/>
  <c r="A615" i="64" l="1"/>
  <c r="K2" i="52"/>
  <c r="N58" i="49"/>
  <c r="K3" i="59"/>
  <c r="L57" i="49"/>
  <c r="M57" i="49"/>
  <c r="G6" i="56"/>
  <c r="H66" i="49"/>
  <c r="H6" i="56"/>
  <c r="J66" i="49"/>
  <c r="K4" i="58"/>
  <c r="H56" i="13"/>
  <c r="G56" i="13"/>
  <c r="J4" i="51"/>
  <c r="J4" i="57"/>
  <c r="O4" i="52"/>
  <c r="O4" i="58"/>
  <c r="N4" i="52"/>
  <c r="N4" i="58"/>
  <c r="I4" i="51"/>
  <c r="I4" i="57"/>
  <c r="K4" i="52"/>
  <c r="N35" i="49"/>
  <c r="M15" i="49"/>
  <c r="E121" i="66"/>
  <c r="N2" i="53"/>
  <c r="N2" i="52"/>
  <c r="O2" i="53"/>
  <c r="J2" i="52"/>
  <c r="L43" i="49"/>
  <c r="M43" i="49"/>
  <c r="O2" i="51"/>
  <c r="O2" i="58"/>
  <c r="A138" i="66" s="1"/>
  <c r="N16" i="49"/>
  <c r="M16" i="49" s="1"/>
  <c r="N44" i="49"/>
  <c r="N31" i="49"/>
  <c r="L31" i="49" s="1"/>
  <c r="O2" i="52"/>
  <c r="N2" i="51"/>
  <c r="J2" i="51"/>
  <c r="A10" i="66"/>
  <c r="A55" i="66"/>
  <c r="A22" i="66"/>
  <c r="L30" i="49"/>
  <c r="M30" i="49"/>
  <c r="K3" i="54"/>
  <c r="N33" i="49"/>
  <c r="A249" i="64"/>
  <c r="A261" i="64"/>
  <c r="A294" i="64"/>
  <c r="A9" i="64"/>
  <c r="A21" i="64"/>
  <c r="A54" i="64"/>
  <c r="A169" i="64"/>
  <c r="A124" i="64"/>
  <c r="A136" i="64"/>
  <c r="A368" i="64"/>
  <c r="A380" i="64"/>
  <c r="A413" i="64"/>
  <c r="A490" i="64"/>
  <c r="A502" i="64"/>
  <c r="A535" i="64"/>
  <c r="A790" i="64"/>
  <c r="A802" i="64"/>
  <c r="A835" i="64"/>
  <c r="A645" i="64"/>
  <c r="O3" i="54"/>
  <c r="N3" i="54"/>
  <c r="I3" i="53"/>
  <c r="J3" i="53"/>
  <c r="G5" i="13"/>
  <c r="H16" i="49" s="1"/>
  <c r="H5" i="13"/>
  <c r="J16" i="49" s="1"/>
  <c r="G4" i="13"/>
  <c r="H4" i="13"/>
  <c r="V29" i="49"/>
  <c r="W29" i="49"/>
  <c r="P3" i="56"/>
  <c r="O4" i="59"/>
  <c r="N4" i="59"/>
  <c r="K48" i="13"/>
  <c r="K6" i="50" s="1"/>
  <c r="X30" i="49"/>
  <c r="X17" i="49"/>
  <c r="K6" i="13"/>
  <c r="V16" i="49"/>
  <c r="W16" i="49"/>
  <c r="X14" i="49"/>
  <c r="W14" i="49" s="1"/>
  <c r="E14" i="49"/>
  <c r="R37" i="49"/>
  <c r="Q37" i="49"/>
  <c r="R36" i="49"/>
  <c r="Q36" i="49"/>
  <c r="R35" i="49"/>
  <c r="Q35" i="49"/>
  <c r="R34" i="49"/>
  <c r="Q34" i="49"/>
  <c r="R33" i="49"/>
  <c r="Q33" i="49"/>
  <c r="R32" i="49"/>
  <c r="Q32" i="49"/>
  <c r="R2" i="37"/>
  <c r="Q2" i="37"/>
  <c r="P2" i="37"/>
  <c r="M2" i="37"/>
  <c r="L2" i="37"/>
  <c r="H2" i="37"/>
  <c r="G2" i="37"/>
  <c r="F2" i="37"/>
  <c r="E2" i="37"/>
  <c r="D2" i="37"/>
  <c r="K3" i="13"/>
  <c r="N2" i="57"/>
  <c r="O2" i="57"/>
  <c r="A49" i="33"/>
  <c r="H27" i="29"/>
  <c r="H12" i="29"/>
  <c r="I6" i="50" l="1"/>
  <c r="J6" i="50"/>
  <c r="N59" i="49"/>
  <c r="K7" i="50"/>
  <c r="M58" i="49"/>
  <c r="L58" i="49"/>
  <c r="A263" i="64"/>
  <c r="G5" i="57"/>
  <c r="H67" i="49"/>
  <c r="H5" i="57"/>
  <c r="J67" i="49"/>
  <c r="G57" i="13"/>
  <c r="H68" i="49" s="1"/>
  <c r="H57" i="13"/>
  <c r="J68" i="49" s="1"/>
  <c r="J4" i="52"/>
  <c r="J4" i="58"/>
  <c r="I4" i="52"/>
  <c r="I4" i="58"/>
  <c r="N36" i="49"/>
  <c r="M36" i="49" s="1"/>
  <c r="K4" i="59"/>
  <c r="L35" i="49"/>
  <c r="M35" i="49"/>
  <c r="M31" i="49"/>
  <c r="A308" i="64"/>
  <c r="A307" i="64"/>
  <c r="L16" i="49"/>
  <c r="F284" i="64"/>
  <c r="F159" i="66"/>
  <c r="A68" i="66"/>
  <c r="N42" i="49"/>
  <c r="K2" i="57"/>
  <c r="N17" i="49"/>
  <c r="L17" i="49" s="1"/>
  <c r="N45" i="49"/>
  <c r="F45" i="66"/>
  <c r="A69" i="66"/>
  <c r="A24" i="66"/>
  <c r="M44" i="49"/>
  <c r="L44" i="49"/>
  <c r="A262" i="66"/>
  <c r="A185" i="66"/>
  <c r="I2" i="52"/>
  <c r="E246" i="64" s="1"/>
  <c r="N32" i="49"/>
  <c r="M32" i="49" s="1"/>
  <c r="A184" i="66"/>
  <c r="I2" i="51"/>
  <c r="K3" i="55"/>
  <c r="L33" i="49"/>
  <c r="M33" i="49"/>
  <c r="J15" i="49"/>
  <c r="H15" i="49"/>
  <c r="O2" i="50"/>
  <c r="O2" i="60"/>
  <c r="K2" i="50"/>
  <c r="K2" i="60"/>
  <c r="K2" i="37"/>
  <c r="O2" i="37"/>
  <c r="J2" i="57"/>
  <c r="N2" i="50"/>
  <c r="N2" i="60"/>
  <c r="N2" i="37"/>
  <c r="O3" i="55"/>
  <c r="J3" i="54"/>
  <c r="I3" i="54"/>
  <c r="N3" i="55"/>
  <c r="I2" i="57"/>
  <c r="G6" i="13"/>
  <c r="G2" i="50" s="1"/>
  <c r="H6" i="13"/>
  <c r="H2" i="50" s="1"/>
  <c r="V14" i="49"/>
  <c r="V30" i="49"/>
  <c r="W30" i="49"/>
  <c r="X31" i="49"/>
  <c r="K50" i="13"/>
  <c r="K6" i="51" s="1"/>
  <c r="O6" i="52"/>
  <c r="N6" i="52"/>
  <c r="J4" i="59"/>
  <c r="I4" i="59"/>
  <c r="N14" i="49"/>
  <c r="M14" i="49" s="1"/>
  <c r="K2" i="53"/>
  <c r="X18" i="49"/>
  <c r="K7" i="13"/>
  <c r="P2" i="54"/>
  <c r="V17" i="49"/>
  <c r="W17" i="49"/>
  <c r="I6" i="51" l="1"/>
  <c r="J6" i="51"/>
  <c r="N61" i="49"/>
  <c r="K7" i="52"/>
  <c r="L59" i="49"/>
  <c r="M59" i="49"/>
  <c r="K6" i="53"/>
  <c r="K6" i="54"/>
  <c r="L36" i="49"/>
  <c r="G58" i="13"/>
  <c r="H69" i="49" s="1"/>
  <c r="H58" i="13"/>
  <c r="J69" i="49" s="1"/>
  <c r="N38" i="49"/>
  <c r="L38" i="49" s="1"/>
  <c r="K6" i="52"/>
  <c r="M17" i="49"/>
  <c r="E7" i="66"/>
  <c r="L32" i="49"/>
  <c r="N2" i="54"/>
  <c r="I2" i="53"/>
  <c r="O2" i="54"/>
  <c r="N18" i="49"/>
  <c r="M18" i="49" s="1"/>
  <c r="N47" i="49"/>
  <c r="J2" i="53"/>
  <c r="N37" i="49"/>
  <c r="L37" i="49" s="1"/>
  <c r="L45" i="49"/>
  <c r="M45" i="49"/>
  <c r="M42" i="49"/>
  <c r="L42" i="49"/>
  <c r="J17" i="49"/>
  <c r="J45" i="49"/>
  <c r="H17" i="49"/>
  <c r="H45" i="49"/>
  <c r="N34" i="49"/>
  <c r="L34" i="49" s="1"/>
  <c r="A22" i="70"/>
  <c r="F43" i="70"/>
  <c r="A67" i="70"/>
  <c r="A68" i="70"/>
  <c r="K3" i="56"/>
  <c r="I2" i="50"/>
  <c r="I2" i="60"/>
  <c r="I2" i="37"/>
  <c r="J2" i="50"/>
  <c r="J2" i="60"/>
  <c r="J2" i="37"/>
  <c r="I3" i="55"/>
  <c r="N3" i="56"/>
  <c r="J3" i="55"/>
  <c r="O3" i="56"/>
  <c r="H2" i="53"/>
  <c r="G7" i="13"/>
  <c r="G2" i="52" s="1"/>
  <c r="H7" i="13"/>
  <c r="H2" i="52" s="1"/>
  <c r="G2" i="53"/>
  <c r="V31" i="49"/>
  <c r="W31" i="49"/>
  <c r="L14" i="49"/>
  <c r="K2" i="54"/>
  <c r="X19" i="49"/>
  <c r="K8" i="13"/>
  <c r="P2" i="55"/>
  <c r="V18" i="49"/>
  <c r="W18" i="49"/>
  <c r="L61" i="49" l="1"/>
  <c r="M61" i="49"/>
  <c r="J6" i="52"/>
  <c r="J6" i="53"/>
  <c r="J6" i="54"/>
  <c r="I6" i="52"/>
  <c r="I6" i="54"/>
  <c r="I6" i="53"/>
  <c r="L18" i="49"/>
  <c r="H59" i="13"/>
  <c r="G59" i="13"/>
  <c r="M38" i="49"/>
  <c r="M37" i="49"/>
  <c r="N2" i="55"/>
  <c r="J2" i="54"/>
  <c r="O2" i="55"/>
  <c r="N19" i="49"/>
  <c r="M19" i="49" s="1"/>
  <c r="N46" i="49"/>
  <c r="I2" i="54"/>
  <c r="L47" i="49"/>
  <c r="M47" i="49"/>
  <c r="H18" i="49"/>
  <c r="J18" i="49"/>
  <c r="M34" i="49"/>
  <c r="E5" i="70"/>
  <c r="J3" i="56"/>
  <c r="I3" i="56"/>
  <c r="H2" i="54"/>
  <c r="G8" i="13"/>
  <c r="H8" i="13"/>
  <c r="G2" i="54"/>
  <c r="X20" i="49"/>
  <c r="K13" i="13"/>
  <c r="P2" i="56"/>
  <c r="N2" i="59"/>
  <c r="O2" i="59"/>
  <c r="K2" i="55"/>
  <c r="V19" i="49"/>
  <c r="W19" i="49"/>
  <c r="K3" i="52" l="1"/>
  <c r="J70" i="49"/>
  <c r="H70" i="49"/>
  <c r="G60" i="13"/>
  <c r="H60" i="13"/>
  <c r="L19" i="49"/>
  <c r="K2" i="59"/>
  <c r="N24" i="49"/>
  <c r="A307" i="66"/>
  <c r="A306" i="66"/>
  <c r="F283" i="66"/>
  <c r="I2" i="55"/>
  <c r="J2" i="55"/>
  <c r="M46" i="49"/>
  <c r="L46" i="49"/>
  <c r="J19" i="49"/>
  <c r="H19" i="49"/>
  <c r="N23" i="49"/>
  <c r="M23" i="49" s="1"/>
  <c r="N22" i="49"/>
  <c r="K2" i="67"/>
  <c r="O2" i="56"/>
  <c r="O2" i="67"/>
  <c r="N2" i="56"/>
  <c r="N2" i="67"/>
  <c r="G13" i="13"/>
  <c r="H13" i="13"/>
  <c r="H2" i="55"/>
  <c r="G2" i="55"/>
  <c r="K2" i="56"/>
  <c r="J2" i="59"/>
  <c r="I2" i="59"/>
  <c r="V20" i="49"/>
  <c r="W20" i="49"/>
  <c r="H7" i="51" l="1"/>
  <c r="J71" i="49"/>
  <c r="G7" i="51"/>
  <c r="H71" i="49"/>
  <c r="G61" i="13"/>
  <c r="H61" i="13"/>
  <c r="L24" i="49"/>
  <c r="M24" i="49"/>
  <c r="E245" i="66"/>
  <c r="J42" i="49"/>
  <c r="H5" i="56"/>
  <c r="H42" i="49"/>
  <c r="G5" i="56"/>
  <c r="H46" i="49"/>
  <c r="J46" i="49"/>
  <c r="F43" i="71"/>
  <c r="A22" i="71"/>
  <c r="A68" i="71"/>
  <c r="A67" i="71"/>
  <c r="L23" i="49"/>
  <c r="J21" i="49"/>
  <c r="H21" i="49"/>
  <c r="M22" i="49"/>
  <c r="L22" i="49"/>
  <c r="I2" i="56"/>
  <c r="I2" i="67"/>
  <c r="J2" i="56"/>
  <c r="J2" i="67"/>
  <c r="H2" i="56"/>
  <c r="G37" i="13"/>
  <c r="H37" i="13"/>
  <c r="G2" i="56"/>
  <c r="J72" i="49" l="1"/>
  <c r="H72" i="49"/>
  <c r="G62" i="13"/>
  <c r="H73" i="49" s="1"/>
  <c r="H62" i="13"/>
  <c r="J73" i="49" s="1"/>
  <c r="H22" i="49"/>
  <c r="G5" i="50"/>
  <c r="J22" i="49"/>
  <c r="H5" i="50"/>
  <c r="H43" i="49"/>
  <c r="G2" i="60"/>
  <c r="H47" i="49"/>
  <c r="J43" i="49"/>
  <c r="H2" i="60"/>
  <c r="A45" i="70" s="1"/>
  <c r="J47" i="49"/>
  <c r="E5" i="71"/>
  <c r="H2" i="57"/>
  <c r="G2" i="57"/>
  <c r="G38" i="13"/>
  <c r="G5" i="52" s="1"/>
  <c r="H38" i="13"/>
  <c r="H5" i="52" s="1"/>
  <c r="G7" i="53" l="1"/>
  <c r="G7" i="54"/>
  <c r="H7" i="53"/>
  <c r="H7" i="54"/>
  <c r="G63" i="13"/>
  <c r="H74" i="49" s="1"/>
  <c r="H63" i="13"/>
  <c r="J74" i="49" s="1"/>
  <c r="J44" i="49"/>
  <c r="J48" i="49"/>
  <c r="H44" i="49"/>
  <c r="H48" i="49"/>
  <c r="A7" i="70"/>
  <c r="A73" i="70"/>
  <c r="G2" i="58"/>
  <c r="H23" i="49"/>
  <c r="H2" i="58"/>
  <c r="J23" i="49"/>
  <c r="G39" i="13"/>
  <c r="H39" i="13"/>
  <c r="H5" i="51" l="1"/>
  <c r="J50" i="49"/>
  <c r="G5" i="51"/>
  <c r="H50" i="49"/>
  <c r="H64" i="13"/>
  <c r="G64" i="13"/>
  <c r="G2" i="59"/>
  <c r="H24" i="49"/>
  <c r="H2" i="59"/>
  <c r="J24" i="49"/>
  <c r="G7" i="55" l="1"/>
  <c r="H75" i="49"/>
  <c r="H7" i="55"/>
  <c r="J75" i="49"/>
  <c r="G65" i="13"/>
  <c r="H65" i="13"/>
  <c r="H7" i="69" l="1"/>
  <c r="J76" i="49"/>
  <c r="G7" i="69"/>
  <c r="H76" i="49"/>
  <c r="H66" i="13"/>
  <c r="G66" i="13"/>
  <c r="H7" i="56" l="1"/>
  <c r="J77" i="49"/>
  <c r="G7" i="56"/>
  <c r="H77" i="49"/>
  <c r="G67" i="13"/>
  <c r="H67" i="13"/>
  <c r="H6" i="57" l="1"/>
  <c r="J78" i="49"/>
  <c r="G6" i="57"/>
  <c r="H78" i="49"/>
  <c r="H68" i="13"/>
  <c r="G68" i="13"/>
  <c r="H40" i="13"/>
  <c r="J51" i="49" s="1"/>
  <c r="G40" i="13"/>
  <c r="H51" i="49" s="1"/>
  <c r="G6" i="58" l="1"/>
  <c r="H79" i="49"/>
  <c r="H6" i="58"/>
  <c r="J79" i="49"/>
  <c r="H69" i="13"/>
  <c r="G69" i="13"/>
  <c r="H25" i="49"/>
  <c r="G5" i="53"/>
  <c r="G5" i="54"/>
  <c r="J25" i="49"/>
  <c r="H5" i="53"/>
  <c r="H5" i="54"/>
  <c r="H3" i="50"/>
  <c r="G3" i="50"/>
  <c r="G41" i="13"/>
  <c r="H41" i="13"/>
  <c r="G6" i="59" l="1"/>
  <c r="H80" i="49"/>
  <c r="H6" i="59"/>
  <c r="J80" i="49"/>
  <c r="H5" i="55"/>
  <c r="J52" i="49"/>
  <c r="G5" i="55"/>
  <c r="H52" i="49"/>
  <c r="H70" i="13"/>
  <c r="G70" i="13"/>
  <c r="G2" i="51"/>
  <c r="H26" i="49"/>
  <c r="H2" i="51"/>
  <c r="J26" i="49"/>
  <c r="H45" i="13"/>
  <c r="G45" i="13"/>
  <c r="J56" i="49" l="1"/>
  <c r="H3" i="57"/>
  <c r="A46" i="66" s="1"/>
  <c r="G8" i="50"/>
  <c r="H81" i="49"/>
  <c r="H56" i="49"/>
  <c r="G3" i="57"/>
  <c r="H8" i="50"/>
  <c r="J81" i="49"/>
  <c r="H3" i="67"/>
  <c r="H5" i="58"/>
  <c r="G3" i="67"/>
  <c r="G5" i="58"/>
  <c r="H71" i="13"/>
  <c r="G71" i="13"/>
  <c r="J49" i="49"/>
  <c r="H49" i="49"/>
  <c r="G3" i="52"/>
  <c r="H27" i="49"/>
  <c r="H3" i="52"/>
  <c r="J27" i="49"/>
  <c r="H46" i="13"/>
  <c r="G46" i="13"/>
  <c r="A73" i="66" l="1"/>
  <c r="A9" i="66"/>
  <c r="G8" i="52"/>
  <c r="G10" i="50"/>
  <c r="H82" i="49"/>
  <c r="J57" i="49"/>
  <c r="H3" i="58"/>
  <c r="A160" i="66" s="1"/>
  <c r="H57" i="49"/>
  <c r="G3" i="58"/>
  <c r="H8" i="52"/>
  <c r="H10" i="50"/>
  <c r="J82" i="49"/>
  <c r="G4" i="57"/>
  <c r="G5" i="59"/>
  <c r="H4" i="57"/>
  <c r="H5" i="59"/>
  <c r="H72" i="13"/>
  <c r="G72" i="13"/>
  <c r="H3" i="53"/>
  <c r="J28" i="49"/>
  <c r="G3" i="53"/>
  <c r="H28" i="49"/>
  <c r="H47" i="13"/>
  <c r="G47" i="13"/>
  <c r="A188" i="66" l="1"/>
  <c r="A123" i="66"/>
  <c r="H58" i="49"/>
  <c r="G3" i="59"/>
  <c r="G8" i="51"/>
  <c r="G10" i="51"/>
  <c r="H83" i="49"/>
  <c r="J58" i="49"/>
  <c r="H3" i="59"/>
  <c r="A284" i="66" s="1"/>
  <c r="H8" i="51"/>
  <c r="H10" i="51"/>
  <c r="J83" i="49"/>
  <c r="G4" i="58"/>
  <c r="G6" i="50"/>
  <c r="H4" i="58"/>
  <c r="H6" i="50"/>
  <c r="G73" i="13"/>
  <c r="H73" i="13"/>
  <c r="H31" i="49"/>
  <c r="H35" i="49"/>
  <c r="J31" i="49"/>
  <c r="J35" i="49"/>
  <c r="H4" i="51"/>
  <c r="J33" i="49"/>
  <c r="G4" i="51"/>
  <c r="H33" i="49"/>
  <c r="G3" i="54"/>
  <c r="H29" i="49"/>
  <c r="H3" i="54"/>
  <c r="J29" i="49"/>
  <c r="H48" i="13"/>
  <c r="G48" i="13"/>
  <c r="A311" i="66" l="1"/>
  <c r="A247" i="66"/>
  <c r="H7" i="50"/>
  <c r="H6" i="51"/>
  <c r="G7" i="50"/>
  <c r="G6" i="51"/>
  <c r="H10" i="52"/>
  <c r="J84" i="49"/>
  <c r="G10" i="52"/>
  <c r="H84" i="49"/>
  <c r="G4" i="59"/>
  <c r="H59" i="49"/>
  <c r="H4" i="59"/>
  <c r="J59" i="49"/>
  <c r="G74" i="13"/>
  <c r="H74" i="13"/>
  <c r="H8" i="53"/>
  <c r="H8" i="54"/>
  <c r="G8" i="53"/>
  <c r="G8" i="54"/>
  <c r="G3" i="55"/>
  <c r="H30" i="49"/>
  <c r="H3" i="55"/>
  <c r="J30" i="49"/>
  <c r="H50" i="13"/>
  <c r="G50" i="13"/>
  <c r="H61" i="49" l="1"/>
  <c r="G7" i="52"/>
  <c r="H10" i="53"/>
  <c r="H10" i="54"/>
  <c r="J85" i="49"/>
  <c r="J61" i="49"/>
  <c r="H7" i="52"/>
  <c r="G10" i="54"/>
  <c r="G10" i="53"/>
  <c r="H85" i="49"/>
  <c r="G6" i="54"/>
  <c r="G6" i="53"/>
  <c r="H6" i="53"/>
  <c r="H6" i="54"/>
  <c r="H75" i="13"/>
  <c r="G75" i="13"/>
  <c r="J38" i="49"/>
  <c r="H6" i="52"/>
  <c r="H38" i="49"/>
  <c r="G6" i="52"/>
  <c r="H34" i="49"/>
  <c r="H36" i="49"/>
  <c r="J34" i="49"/>
  <c r="J36" i="49"/>
  <c r="J32" i="49"/>
  <c r="J37" i="49"/>
  <c r="H32" i="49"/>
  <c r="H37" i="49"/>
  <c r="H3" i="56"/>
  <c r="G3" i="56"/>
  <c r="H4" i="50"/>
  <c r="G4" i="50"/>
  <c r="A8" i="64" s="1"/>
  <c r="G8" i="55" l="1"/>
  <c r="H86" i="49"/>
  <c r="H8" i="55"/>
  <c r="J86" i="49"/>
  <c r="H76" i="13"/>
  <c r="G76" i="13"/>
  <c r="H3" i="51"/>
  <c r="G3" i="51"/>
  <c r="A123" i="64" s="1"/>
  <c r="G8" i="69" l="1"/>
  <c r="G10" i="55"/>
  <c r="H87" i="49"/>
  <c r="H8" i="69"/>
  <c r="H10" i="55"/>
  <c r="J87" i="49"/>
  <c r="H77" i="13"/>
  <c r="G77" i="13"/>
  <c r="G4" i="52"/>
  <c r="A248" i="64" s="1"/>
  <c r="H4" i="52"/>
  <c r="G8" i="56" l="1"/>
  <c r="G10" i="69"/>
  <c r="H88" i="49"/>
  <c r="H8" i="56"/>
  <c r="H10" i="69"/>
  <c r="A727" i="64" s="1"/>
  <c r="J88" i="49"/>
  <c r="H78" i="13"/>
  <c r="G78" i="13"/>
  <c r="G4" i="53"/>
  <c r="A367" i="64" s="1"/>
  <c r="H4" i="53"/>
  <c r="G7" i="57" l="1"/>
  <c r="G10" i="56"/>
  <c r="H89" i="49"/>
  <c r="A755" i="64"/>
  <c r="A690" i="64"/>
  <c r="H7" i="57"/>
  <c r="H10" i="56"/>
  <c r="J89" i="49"/>
  <c r="G79" i="13"/>
  <c r="H79" i="13"/>
  <c r="G4" i="54"/>
  <c r="A489" i="64" s="1"/>
  <c r="H4" i="54"/>
  <c r="G7" i="58" l="1"/>
  <c r="H90" i="49"/>
  <c r="G3" i="60"/>
  <c r="H7" i="58"/>
  <c r="J90" i="49"/>
  <c r="H3" i="60"/>
  <c r="G80" i="13"/>
  <c r="G2" i="67" s="1"/>
  <c r="H80" i="13"/>
  <c r="H2" i="67" s="1"/>
  <c r="A45" i="71" s="1"/>
  <c r="G4" i="55"/>
  <c r="H4" i="55"/>
  <c r="A7" i="71" l="1"/>
  <c r="A73" i="71"/>
  <c r="G7" i="59"/>
  <c r="H91" i="49"/>
  <c r="H7" i="59"/>
  <c r="J91" i="49"/>
  <c r="H81" i="13"/>
  <c r="H9" i="50" s="1"/>
  <c r="G81" i="13"/>
  <c r="G9" i="50" s="1"/>
  <c r="G4" i="56"/>
  <c r="A789" i="64" s="1"/>
  <c r="H4" i="56"/>
  <c r="H82" i="13" l="1"/>
  <c r="H9" i="51" s="1"/>
  <c r="G82" i="13"/>
  <c r="G9" i="51" s="1"/>
  <c r="G83" i="13" l="1"/>
  <c r="G9" i="52" s="1"/>
  <c r="H83" i="13"/>
  <c r="H9" i="52" s="1"/>
  <c r="A45" i="64"/>
  <c r="A72" i="64"/>
  <c r="H84" i="13" l="1"/>
  <c r="G84" i="13"/>
  <c r="A160" i="64"/>
  <c r="A188" i="64"/>
  <c r="A313" i="64"/>
  <c r="A285" i="64"/>
  <c r="G85" i="13" l="1"/>
  <c r="H85" i="13"/>
  <c r="G9" i="53"/>
  <c r="G9" i="54"/>
  <c r="H9" i="53"/>
  <c r="H9" i="54"/>
  <c r="A431" i="64"/>
  <c r="A404" i="64"/>
  <c r="G86" i="13" l="1"/>
  <c r="G9" i="55" s="1"/>
  <c r="H86" i="13"/>
  <c r="H9" i="55" s="1"/>
  <c r="A526" i="64"/>
  <c r="A553" i="64"/>
  <c r="G87" i="13" l="1"/>
  <c r="G9" i="69" s="1"/>
  <c r="H87" i="13"/>
  <c r="H9" i="69" s="1"/>
  <c r="A634" i="64"/>
  <c r="A606" i="64"/>
  <c r="H88" i="13" l="1"/>
  <c r="H9" i="56" s="1"/>
  <c r="G88" i="13"/>
  <c r="G9" i="56" s="1"/>
  <c r="A854" i="64"/>
  <c r="A826" i="64"/>
  <c r="H89" i="13" l="1"/>
  <c r="H4" i="67" s="1"/>
  <c r="G89" i="13"/>
  <c r="G4" i="67" s="1"/>
  <c r="H90" i="13" l="1"/>
  <c r="G90" i="13"/>
  <c r="G91" i="13" l="1"/>
  <c r="H91" i="13"/>
  <c r="H92" i="13" l="1"/>
  <c r="G92" i="13"/>
  <c r="H93" i="13" l="1"/>
  <c r="G93" i="13"/>
  <c r="G94" i="13" l="1"/>
  <c r="H94" i="13"/>
  <c r="H95" i="13" l="1"/>
  <c r="G95" i="13"/>
  <c r="H96" i="13" l="1"/>
  <c r="G96" i="13"/>
  <c r="G97" i="13" l="1"/>
  <c r="H97" i="13"/>
  <c r="G98" i="13" l="1"/>
  <c r="H98" i="13"/>
  <c r="H99" i="13" l="1"/>
  <c r="G99" i="13"/>
  <c r="H100" i="13" l="1"/>
  <c r="G100" i="13"/>
  <c r="G101" i="13" l="1"/>
  <c r="H101" i="13"/>
  <c r="H102" i="13" l="1"/>
  <c r="G102" i="13"/>
  <c r="G103" i="13" l="1"/>
  <c r="H103" i="13"/>
  <c r="H104" i="13" l="1"/>
  <c r="G104" i="13"/>
  <c r="H105" i="13" l="1"/>
  <c r="G105" i="13"/>
  <c r="G106" i="13" l="1"/>
  <c r="H106" i="13"/>
  <c r="G107" i="13" l="1"/>
  <c r="H107" i="13"/>
  <c r="G108" i="13" l="1"/>
  <c r="H108" i="13"/>
  <c r="H109" i="13" l="1"/>
  <c r="G109" i="13"/>
  <c r="G110" i="13" l="1"/>
  <c r="H110" i="13"/>
  <c r="G111" i="13" l="1"/>
  <c r="H111" i="13"/>
  <c r="G112" i="13" l="1"/>
  <c r="H112" i="13"/>
  <c r="G113" i="13" l="1"/>
  <c r="H113" i="13"/>
  <c r="H114" i="13" l="1"/>
  <c r="G114" i="13"/>
  <c r="G115" i="13" l="1"/>
  <c r="H115" i="13"/>
  <c r="G116" i="13" l="1"/>
  <c r="H116" i="13"/>
  <c r="G117" i="13" l="1"/>
  <c r="H117" i="13"/>
  <c r="G118" i="13" l="1"/>
  <c r="H118" i="13"/>
  <c r="H119" i="13" l="1"/>
  <c r="G119" i="13"/>
  <c r="G120" i="13" l="1"/>
  <c r="H120" i="13"/>
  <c r="H121" i="13" l="1"/>
  <c r="G121" i="13"/>
  <c r="G122" i="13" l="1"/>
  <c r="H122" i="13"/>
  <c r="G123" i="13" l="1"/>
  <c r="H123" i="13"/>
  <c r="H124" i="13" l="1"/>
  <c r="G124" i="13"/>
  <c r="G125" i="13" l="1"/>
  <c r="H125" i="13"/>
  <c r="H126" i="13" l="1"/>
  <c r="G126" i="13"/>
  <c r="G127" i="13" l="1"/>
  <c r="H127" i="13"/>
  <c r="G128" i="13" l="1"/>
  <c r="H128" i="13"/>
  <c r="H129" i="13" l="1"/>
  <c r="G129" i="13"/>
  <c r="G130" i="13" l="1"/>
  <c r="H130" i="13"/>
  <c r="H131" i="13" l="1"/>
  <c r="G131" i="13"/>
  <c r="H132" i="13" l="1"/>
  <c r="G132" i="13"/>
  <c r="G133" i="13" l="1"/>
  <c r="H133" i="13"/>
  <c r="H134" i="13" l="1"/>
  <c r="G134" i="13"/>
  <c r="G135" i="13" l="1"/>
  <c r="H135" i="13"/>
  <c r="H136" i="13" l="1"/>
  <c r="G136" i="13"/>
  <c r="H137" i="13" l="1"/>
  <c r="G137" i="13"/>
  <c r="G138" i="13" l="1"/>
  <c r="H138" i="13"/>
  <c r="H139" i="13" l="1"/>
  <c r="G139" i="13"/>
  <c r="G140" i="13" l="1"/>
  <c r="H140" i="13"/>
  <c r="H141" i="13" l="1"/>
  <c r="G141" i="13"/>
  <c r="H142" i="13" l="1"/>
  <c r="G142" i="13"/>
  <c r="G143" i="13" l="1"/>
  <c r="H143" i="13"/>
  <c r="H144" i="13" l="1"/>
  <c r="G144" i="13"/>
  <c r="G145" i="13" l="1"/>
  <c r="H145" i="13"/>
  <c r="H146" i="13" l="1"/>
  <c r="G146" i="13"/>
  <c r="H147" i="13" l="1"/>
  <c r="G147" i="13"/>
  <c r="G148" i="13" l="1"/>
  <c r="H148" i="13"/>
  <c r="H149" i="13" l="1"/>
  <c r="G149" i="13"/>
  <c r="G150" i="13" l="1"/>
  <c r="H150" i="13"/>
  <c r="H151" i="13" l="1"/>
  <c r="G151" i="13"/>
  <c r="H152" i="13" l="1"/>
  <c r="G152" i="13"/>
  <c r="H153" i="13" l="1"/>
  <c r="G153" i="13"/>
  <c r="H154" i="13" l="1"/>
  <c r="G154" i="13"/>
  <c r="G155" i="13" l="1"/>
  <c r="H155" i="13"/>
  <c r="H156" i="13" l="1"/>
  <c r="G156" i="13"/>
  <c r="H157" i="13" l="1"/>
  <c r="G157" i="13"/>
  <c r="H158" i="13" l="1"/>
  <c r="G158" i="13"/>
  <c r="H159" i="13" l="1"/>
  <c r="G159" i="13"/>
  <c r="G160" i="13" l="1"/>
  <c r="H160" i="13"/>
  <c r="H161" i="13" l="1"/>
  <c r="G161" i="13"/>
  <c r="H162" i="13" l="1"/>
  <c r="G162" i="13"/>
  <c r="G163" i="13" l="1"/>
  <c r="H163" i="13"/>
  <c r="G164" i="13" l="1"/>
  <c r="H164" i="13"/>
  <c r="H165" i="13" l="1"/>
  <c r="G165" i="13"/>
  <c r="G166" i="13" l="1"/>
  <c r="H166" i="13"/>
  <c r="G167" i="13" l="1"/>
  <c r="H167" i="13"/>
  <c r="G168" i="13" l="1"/>
  <c r="H168" i="13"/>
  <c r="G169" i="13" l="1"/>
  <c r="H169" i="13"/>
  <c r="H170" i="13" l="1"/>
  <c r="G170" i="13"/>
  <c r="G171" i="13" l="1"/>
  <c r="H171" i="13"/>
  <c r="G172" i="13" l="1"/>
  <c r="H172" i="13"/>
  <c r="G173" i="13" l="1"/>
  <c r="H173" i="13"/>
  <c r="G174" i="13" l="1"/>
  <c r="H174" i="13"/>
  <c r="H175" i="13" l="1"/>
  <c r="G175" i="13"/>
  <c r="G176" i="13" l="1"/>
  <c r="H176" i="13"/>
  <c r="G177" i="13" l="1"/>
  <c r="H177" i="13"/>
  <c r="G178" i="13" l="1"/>
  <c r="H178" i="13"/>
  <c r="G179" i="13" l="1"/>
  <c r="H179" i="13"/>
  <c r="H180" i="13" l="1"/>
  <c r="G180" i="13"/>
  <c r="G181" i="13" l="1"/>
  <c r="H181" i="13"/>
  <c r="G182" i="13" l="1"/>
  <c r="H182" i="13"/>
  <c r="G183" i="13" l="1"/>
  <c r="H183" i="13"/>
  <c r="G184" i="13" l="1"/>
  <c r="H184" i="13"/>
  <c r="G185" i="13" l="1"/>
  <c r="H185" i="13"/>
  <c r="G186" i="13" l="1"/>
  <c r="H186" i="13"/>
  <c r="G187" i="13" l="1"/>
  <c r="H187" i="13"/>
  <c r="G188" i="13" l="1"/>
  <c r="H188" i="13"/>
  <c r="G189" i="13" l="1"/>
  <c r="H189" i="13"/>
  <c r="G190" i="13" l="1"/>
  <c r="H190" i="13"/>
  <c r="G191" i="13" l="1"/>
  <c r="H191" i="13"/>
  <c r="G192" i="13" l="1"/>
  <c r="H192" i="13"/>
  <c r="G193" i="13" l="1"/>
  <c r="H193" i="13"/>
  <c r="G194" i="13" l="1"/>
  <c r="H194" i="13"/>
  <c r="G195" i="13" l="1"/>
  <c r="H195" i="13"/>
  <c r="G196" i="13" l="1"/>
  <c r="H196" i="13"/>
  <c r="G197" i="13" l="1"/>
  <c r="H197" i="13"/>
  <c r="G198" i="13" l="1"/>
  <c r="H198" i="13"/>
  <c r="G199" i="13" l="1"/>
  <c r="H199" i="13"/>
  <c r="G200" i="13" l="1"/>
  <c r="H200" i="13"/>
  <c r="G201" i="13" l="1"/>
  <c r="H201" i="13"/>
  <c r="G202" i="13" l="1"/>
  <c r="H202" i="13"/>
  <c r="G203" i="13" l="1"/>
  <c r="H203" i="13"/>
  <c r="G204" i="13" l="1"/>
  <c r="H204" i="13"/>
  <c r="G205" i="13" l="1"/>
  <c r="H205" i="13"/>
  <c r="G206" i="13" l="1"/>
  <c r="H206" i="13"/>
  <c r="G207" i="13" l="1"/>
  <c r="H207" i="13"/>
  <c r="G208" i="13" l="1"/>
  <c r="H208" i="13"/>
  <c r="G209" i="13" l="1"/>
  <c r="H209" i="13"/>
  <c r="H210" i="13" l="1"/>
  <c r="G210" i="13"/>
  <c r="H211" i="13" l="1"/>
  <c r="G211" i="13"/>
  <c r="H212" i="13" l="1"/>
  <c r="G212" i="13"/>
  <c r="H213" i="13" l="1"/>
  <c r="G213" i="13"/>
  <c r="H214" i="13" l="1"/>
  <c r="G214" i="13"/>
  <c r="H215" i="13" l="1"/>
  <c r="G215" i="13"/>
  <c r="H216" i="13" l="1"/>
  <c r="G216" i="13"/>
  <c r="H217" i="13" l="1"/>
  <c r="G217" i="13"/>
  <c r="H218" i="13" l="1"/>
  <c r="G218" i="13"/>
  <c r="H219" i="13" l="1"/>
  <c r="G219" i="13"/>
  <c r="H220" i="13" l="1"/>
  <c r="G220" i="13"/>
  <c r="H221" i="13" l="1"/>
  <c r="G221" i="13"/>
  <c r="H222" i="13" l="1"/>
  <c r="G222" i="13"/>
  <c r="H223" i="13" l="1"/>
  <c r="G223" i="13"/>
  <c r="H224" i="13" l="1"/>
  <c r="G224" i="13"/>
  <c r="H225" i="13" l="1"/>
  <c r="G225" i="13"/>
  <c r="G226" i="13" l="1"/>
  <c r="H226" i="13"/>
  <c r="H227" i="13" l="1"/>
  <c r="G227" i="13"/>
  <c r="G228" i="13" l="1"/>
  <c r="H228" i="13"/>
  <c r="G229" i="13" l="1"/>
  <c r="H229" i="13"/>
  <c r="G230" i="13" l="1"/>
  <c r="H230" i="13"/>
  <c r="G231" i="13" l="1"/>
  <c r="H231" i="13"/>
  <c r="H232" i="13" l="1"/>
  <c r="G232" i="13"/>
  <c r="H233" i="13" l="1"/>
  <c r="G233" i="13"/>
  <c r="H234" i="13" l="1"/>
  <c r="G234" i="13"/>
  <c r="H235" i="13" l="1"/>
  <c r="G235" i="13"/>
  <c r="H236" i="13" l="1"/>
  <c r="G236" i="13"/>
  <c r="H237" i="13" l="1"/>
  <c r="G237" i="13"/>
  <c r="H238" i="13" l="1"/>
  <c r="G238" i="13"/>
  <c r="H239" i="13" l="1"/>
  <c r="G239" i="13"/>
  <c r="H240" i="13" l="1"/>
  <c r="G240" i="13"/>
  <c r="H241" i="13" l="1"/>
  <c r="G241" i="13"/>
  <c r="H242" i="13" l="1"/>
  <c r="G242" i="13"/>
  <c r="H243" i="13" l="1"/>
  <c r="G243" i="13"/>
  <c r="H244" i="13" l="1"/>
  <c r="G244" i="13"/>
  <c r="H245" i="13" l="1"/>
  <c r="G245" i="13"/>
  <c r="H246" i="13" l="1"/>
  <c r="G246" i="13"/>
  <c r="H247" i="13" l="1"/>
  <c r="G247" i="13"/>
  <c r="H248" i="13" l="1"/>
  <c r="G248" i="13"/>
  <c r="H249" i="13" l="1"/>
  <c r="G249" i="13"/>
  <c r="H250" i="13" l="1"/>
  <c r="G250" i="13"/>
  <c r="H251" i="13" l="1"/>
  <c r="G251" i="13"/>
  <c r="G252" i="13" l="1"/>
  <c r="H252" i="13"/>
  <c r="H253" i="13" l="1"/>
  <c r="G253" i="13"/>
  <c r="H254" i="13" l="1"/>
  <c r="G254" i="13"/>
  <c r="H255" i="13" l="1"/>
  <c r="G255" i="13"/>
  <c r="H256" i="13" l="1"/>
  <c r="G256" i="13"/>
  <c r="G257" i="13" l="1"/>
  <c r="H257" i="13"/>
  <c r="G258" i="13" l="1"/>
  <c r="H258" i="13"/>
  <c r="H259" i="13" l="1"/>
  <c r="G259" i="13"/>
  <c r="H260" i="13" l="1"/>
  <c r="G260" i="13"/>
  <c r="H261" i="13" l="1"/>
  <c r="G261" i="13"/>
  <c r="G262" i="13" l="1"/>
  <c r="H262" i="13"/>
  <c r="G263" i="13" l="1"/>
  <c r="H263" i="13"/>
  <c r="G264" i="13" l="1"/>
  <c r="H264" i="13"/>
  <c r="H265" i="13" l="1"/>
  <c r="G265" i="13"/>
  <c r="H266" i="13" l="1"/>
  <c r="G266" i="13"/>
  <c r="G267" i="13" l="1"/>
  <c r="H267" i="13"/>
  <c r="G268" i="13" l="1"/>
  <c r="H268" i="13"/>
  <c r="G269" i="13" l="1"/>
  <c r="H269" i="13"/>
  <c r="H270" i="13" l="1"/>
  <c r="G270" i="13"/>
  <c r="H271" i="13" l="1"/>
  <c r="G271" i="13"/>
  <c r="G272" i="13" l="1"/>
  <c r="H272" i="13"/>
  <c r="G273" i="13" l="1"/>
  <c r="H273" i="13"/>
  <c r="G274" i="13" l="1"/>
  <c r="H274" i="13"/>
  <c r="H275" i="13" l="1"/>
  <c r="G275" i="13"/>
  <c r="G276" i="13" l="1"/>
  <c r="H276" i="13"/>
  <c r="H277" i="13" l="1"/>
  <c r="G277" i="13"/>
  <c r="G278" i="13" l="1"/>
  <c r="H278" i="13"/>
  <c r="G279" i="13" l="1"/>
  <c r="H279" i="13"/>
  <c r="H280" i="13" l="1"/>
  <c r="G280" i="13"/>
  <c r="G281" i="13" l="1"/>
  <c r="H281" i="13"/>
  <c r="H282" i="13" l="1"/>
  <c r="G282" i="13"/>
  <c r="G283" i="13" l="1"/>
  <c r="H283" i="13"/>
  <c r="G284" i="13" l="1"/>
  <c r="H284" i="13"/>
  <c r="H285" i="13" l="1"/>
  <c r="G285" i="13"/>
  <c r="G286" i="13" l="1"/>
  <c r="H286" i="13"/>
  <c r="H287" i="13" l="1"/>
  <c r="G287" i="13"/>
  <c r="H288" i="13" l="1"/>
  <c r="G288" i="13"/>
  <c r="G289" i="13" l="1"/>
  <c r="H289" i="13"/>
  <c r="H290" i="13" l="1"/>
  <c r="G290" i="13"/>
  <c r="G291" i="13" l="1"/>
  <c r="H291" i="13"/>
  <c r="H292" i="13" l="1"/>
  <c r="G292" i="13"/>
  <c r="H293" i="13" l="1"/>
  <c r="G293" i="13"/>
  <c r="G294" i="13" l="1"/>
  <c r="H294" i="13"/>
  <c r="H295" i="13" l="1"/>
  <c r="G295" i="13"/>
  <c r="G296" i="13" l="1"/>
  <c r="H296" i="13"/>
  <c r="H297" i="13" l="1"/>
  <c r="G297" i="13"/>
  <c r="H298" i="13" l="1"/>
  <c r="G298" i="13"/>
  <c r="H299" i="13" l="1"/>
  <c r="G299" i="13"/>
  <c r="H300" i="13" l="1"/>
  <c r="G300" i="13"/>
  <c r="G301" i="13" l="1"/>
  <c r="H301" i="13"/>
  <c r="H302" i="13" l="1"/>
  <c r="G302" i="13"/>
  <c r="H303" i="13" l="1"/>
  <c r="G303" i="13"/>
  <c r="G304" i="13" l="1"/>
  <c r="H304" i="13"/>
  <c r="G305" i="13" l="1"/>
  <c r="H305" i="13"/>
  <c r="H306" i="13" l="1"/>
  <c r="G306" i="13"/>
  <c r="G307" i="13" l="1"/>
  <c r="H307" i="13"/>
  <c r="A309" i="13" l="1"/>
  <c r="G308" i="13"/>
  <c r="H308" i="13"/>
  <c r="A310" i="13" l="1"/>
  <c r="G309" i="13"/>
  <c r="H309" i="13"/>
  <c r="A311" i="13" l="1"/>
  <c r="G310" i="13"/>
  <c r="H310" i="13"/>
  <c r="A312" i="13" l="1"/>
  <c r="G311" i="13"/>
  <c r="H311" i="13"/>
  <c r="A313" i="13" l="1"/>
  <c r="G312" i="13"/>
  <c r="H312" i="13"/>
  <c r="G313" i="13" l="1"/>
  <c r="H313" i="13"/>
  <c r="A314" i="13"/>
  <c r="G314" i="13" l="1"/>
  <c r="H314" i="13"/>
  <c r="A315" i="13"/>
  <c r="G315" i="13" l="1"/>
  <c r="H315" i="13"/>
  <c r="A316" i="13"/>
  <c r="G316" i="13" l="1"/>
  <c r="H316" i="13"/>
  <c r="A317" i="13"/>
  <c r="G317" i="13" l="1"/>
  <c r="H317" i="13"/>
  <c r="A318" i="13"/>
  <c r="G318" i="13" l="1"/>
  <c r="H318" i="13"/>
  <c r="A319" i="13"/>
  <c r="H319" i="13" l="1"/>
  <c r="A320" i="13"/>
  <c r="G319" i="13"/>
  <c r="H320" i="13" l="1"/>
  <c r="A321" i="13"/>
  <c r="G320" i="13"/>
  <c r="H321" i="13" l="1"/>
  <c r="A322" i="13"/>
  <c r="G321" i="13"/>
  <c r="G322" i="13" l="1"/>
  <c r="H322" i="13"/>
  <c r="A323" i="13"/>
  <c r="G323" i="13" l="1"/>
  <c r="H323" i="13"/>
  <c r="A324" i="13"/>
  <c r="H324" i="13" l="1"/>
  <c r="A325" i="13"/>
  <c r="G324" i="13"/>
  <c r="A326" i="13" l="1"/>
  <c r="G325" i="13"/>
  <c r="H325" i="13"/>
  <c r="H326" i="13" l="1"/>
  <c r="A327" i="13"/>
  <c r="G326" i="13"/>
  <c r="H327" i="13" l="1"/>
  <c r="A328" i="13"/>
  <c r="G327" i="13"/>
  <c r="G328" i="13" l="1"/>
  <c r="H328" i="13"/>
  <c r="A329" i="13"/>
  <c r="H329" i="13" l="1"/>
  <c r="A330" i="13"/>
  <c r="G329" i="13"/>
  <c r="G330" i="13" l="1"/>
  <c r="H330" i="13"/>
  <c r="A331" i="13"/>
  <c r="A332" i="13" l="1"/>
  <c r="G331" i="13"/>
  <c r="H331" i="13"/>
  <c r="H332" i="13" l="1"/>
  <c r="A333" i="13"/>
  <c r="G332" i="13"/>
  <c r="A334" i="13" l="1"/>
  <c r="G333" i="13"/>
  <c r="H333" i="13"/>
  <c r="A335" i="13" l="1"/>
  <c r="G334" i="13"/>
  <c r="H334" i="13"/>
  <c r="A336" i="13" l="1"/>
  <c r="G335" i="13"/>
  <c r="H335" i="13"/>
  <c r="A337" i="13" l="1"/>
  <c r="G336" i="13"/>
  <c r="H336" i="13"/>
  <c r="A338" i="13" l="1"/>
  <c r="G337" i="13"/>
  <c r="H337" i="13"/>
  <c r="H338" i="13" l="1"/>
  <c r="A339" i="13"/>
  <c r="G338" i="13"/>
  <c r="H339" i="13" l="1"/>
  <c r="A340" i="13"/>
  <c r="G339" i="13"/>
  <c r="H340" i="13" l="1"/>
  <c r="G340" i="13"/>
  <c r="A341" i="13"/>
  <c r="H341" i="13" l="1"/>
  <c r="A342" i="13"/>
  <c r="G341" i="13"/>
  <c r="A343" i="13" l="1"/>
  <c r="G342" i="13"/>
  <c r="H342" i="13"/>
  <c r="G343" i="13" l="1"/>
  <c r="H343" i="13"/>
  <c r="A344" i="13"/>
  <c r="H344" i="13" l="1"/>
  <c r="G344" i="13"/>
  <c r="A345" i="13"/>
  <c r="A346" i="13" l="1"/>
  <c r="G345" i="13"/>
  <c r="H345" i="13"/>
  <c r="G346" i="13" l="1"/>
  <c r="H346" i="13"/>
  <c r="A347" i="13"/>
  <c r="A348" i="13" l="1"/>
  <c r="G347" i="13"/>
  <c r="H347" i="13"/>
  <c r="H348" i="13" l="1"/>
  <c r="G348" i="13"/>
  <c r="A349" i="13"/>
  <c r="G349" i="13" l="1"/>
  <c r="H349" i="13"/>
  <c r="A350" i="13"/>
  <c r="A351" i="13" l="1"/>
  <c r="G350" i="13"/>
  <c r="H350" i="13"/>
  <c r="A352" i="13" l="1"/>
  <c r="G351" i="13"/>
  <c r="H351" i="13"/>
  <c r="H352" i="13" l="1"/>
  <c r="G352" i="13"/>
  <c r="A353" i="13"/>
  <c r="H353" i="13" l="1"/>
  <c r="A354" i="13"/>
  <c r="G353" i="13"/>
  <c r="H354" i="13" l="1"/>
  <c r="A355" i="13"/>
  <c r="G354" i="13"/>
  <c r="A356" i="13" l="1"/>
  <c r="G355" i="13"/>
  <c r="H355" i="13"/>
  <c r="A357" i="13" l="1"/>
  <c r="H356" i="13"/>
  <c r="G356" i="13"/>
  <c r="G357" i="13" l="1"/>
  <c r="H357" i="13"/>
  <c r="A358" i="13"/>
  <c r="A359" i="13" l="1"/>
  <c r="G358" i="13"/>
  <c r="H358" i="13"/>
  <c r="H359" i="13" l="1"/>
  <c r="A360" i="13"/>
  <c r="G359" i="13"/>
  <c r="A361" i="13" l="1"/>
  <c r="H360" i="13"/>
  <c r="G360" i="13"/>
  <c r="H361" i="13" l="1"/>
  <c r="A362" i="13"/>
  <c r="G361" i="13"/>
  <c r="H362" i="13" l="1"/>
  <c r="A363" i="13"/>
  <c r="G362" i="13"/>
  <c r="H363" i="13" l="1"/>
  <c r="A364" i="13"/>
  <c r="G363" i="13"/>
  <c r="G364" i="13" l="1"/>
  <c r="A365" i="13"/>
  <c r="H364" i="13"/>
  <c r="G365" i="13" l="1"/>
  <c r="H365" i="13"/>
  <c r="A366" i="13"/>
  <c r="G366" i="13" l="1"/>
  <c r="H366" i="13"/>
  <c r="A367" i="13"/>
  <c r="G367" i="13" l="1"/>
  <c r="H367" i="13"/>
  <c r="A368" i="13"/>
  <c r="G368" i="13" l="1"/>
  <c r="A369" i="13"/>
  <c r="H368" i="13"/>
  <c r="H369" i="13" l="1"/>
  <c r="A370" i="13"/>
  <c r="G369" i="13"/>
  <c r="G370" i="13" l="1"/>
  <c r="H370" i="13"/>
  <c r="A371" i="13"/>
  <c r="H371" i="13" l="1"/>
  <c r="A372" i="13"/>
  <c r="G371" i="13"/>
  <c r="G372" i="13" l="1"/>
  <c r="A373" i="13"/>
  <c r="H372" i="13"/>
  <c r="H373" i="13" l="1"/>
  <c r="A374" i="13"/>
  <c r="G373" i="13"/>
  <c r="G374" i="13" l="1"/>
  <c r="H374" i="13"/>
  <c r="A375" i="13"/>
  <c r="G375" i="13" l="1"/>
  <c r="H375" i="13"/>
  <c r="A376" i="13"/>
  <c r="H376" i="13" l="1"/>
  <c r="A377" i="13"/>
  <c r="G376" i="13"/>
  <c r="G377" i="13" l="1"/>
  <c r="H377" i="13"/>
  <c r="A378" i="13"/>
  <c r="G378" i="13" l="1"/>
  <c r="H378" i="13"/>
  <c r="A379" i="13"/>
  <c r="H379" i="13" l="1"/>
  <c r="A380" i="13"/>
  <c r="G379" i="13"/>
  <c r="A381" i="13" l="1"/>
  <c r="H380" i="13"/>
  <c r="G380" i="13"/>
  <c r="H381" i="13" l="1"/>
  <c r="A382" i="13"/>
  <c r="G381" i="13"/>
  <c r="H382" i="13" l="1"/>
  <c r="A383" i="13"/>
  <c r="G382" i="13"/>
  <c r="H383" i="13" l="1"/>
  <c r="A384" i="13"/>
  <c r="G383" i="13"/>
  <c r="A385" i="13" l="1"/>
  <c r="H384" i="13"/>
  <c r="G384" i="13"/>
  <c r="A386" i="13" l="1"/>
  <c r="G385" i="13"/>
  <c r="H385" i="13"/>
  <c r="H386" i="13" l="1"/>
  <c r="A387" i="13"/>
  <c r="G386" i="13"/>
  <c r="G387" i="13" l="1"/>
  <c r="H387" i="13"/>
  <c r="A388" i="13"/>
  <c r="G388" i="13" l="1"/>
  <c r="A389" i="13"/>
  <c r="H388" i="13"/>
  <c r="H389" i="13" l="1"/>
  <c r="A390" i="13"/>
  <c r="G389" i="13"/>
  <c r="H390" i="13" l="1"/>
  <c r="A391" i="13"/>
  <c r="G390" i="13"/>
  <c r="A392" i="13" l="1"/>
  <c r="G391" i="13"/>
  <c r="H391" i="13"/>
  <c r="H392" i="13" l="1"/>
  <c r="G392" i="13"/>
  <c r="A393" i="13"/>
  <c r="H393" i="13" l="1"/>
  <c r="A394" i="13"/>
  <c r="G393" i="13"/>
  <c r="H394" i="13" l="1"/>
  <c r="A395" i="13"/>
  <c r="G394" i="13"/>
  <c r="H395" i="13" l="1"/>
  <c r="A396" i="13"/>
  <c r="G395" i="13"/>
  <c r="H396" i="13" l="1"/>
  <c r="G396" i="13"/>
  <c r="A397" i="13"/>
  <c r="H397" i="13" l="1"/>
  <c r="A398" i="13"/>
  <c r="G397" i="13"/>
  <c r="A399" i="13" l="1"/>
  <c r="G398" i="13"/>
  <c r="H398" i="13"/>
  <c r="H399" i="13" l="1"/>
  <c r="A400" i="13"/>
  <c r="G399" i="13"/>
  <c r="H400" i="13" l="1"/>
  <c r="G400" i="13"/>
  <c r="A401" i="13"/>
  <c r="A402" i="13" l="1"/>
  <c r="G401" i="13"/>
  <c r="H401" i="13"/>
  <c r="A403" i="13" l="1"/>
  <c r="G402" i="13"/>
  <c r="H402" i="13"/>
  <c r="A404" i="13" l="1"/>
  <c r="G403" i="13"/>
  <c r="H403" i="13"/>
  <c r="H404" i="13" l="1"/>
  <c r="G404" i="13"/>
  <c r="A405" i="13"/>
  <c r="A406" i="13" l="1"/>
  <c r="G405" i="13"/>
  <c r="H405" i="13"/>
  <c r="G406" i="13" l="1"/>
  <c r="H406" i="13"/>
  <c r="A407" i="13"/>
  <c r="A408" i="13" l="1"/>
  <c r="G407" i="13"/>
  <c r="H407" i="13"/>
  <c r="G408" i="13" l="1"/>
  <c r="A409" i="13"/>
  <c r="H408" i="13"/>
  <c r="H409" i="13" l="1"/>
  <c r="A410" i="13"/>
  <c r="G409" i="13"/>
  <c r="A411" i="13" l="1"/>
  <c r="G410" i="13"/>
  <c r="H410" i="13"/>
  <c r="A412" i="13" l="1"/>
  <c r="G411" i="13"/>
  <c r="H411" i="13"/>
  <c r="H412" i="13" l="1"/>
  <c r="G412" i="13"/>
  <c r="A413" i="13"/>
  <c r="H413" i="13" l="1"/>
  <c r="A414" i="13"/>
  <c r="G413" i="13"/>
  <c r="H414" i="13" l="1"/>
  <c r="A415" i="13"/>
  <c r="G414" i="13"/>
  <c r="A416" i="13" l="1"/>
  <c r="G415" i="13"/>
  <c r="H415" i="13"/>
  <c r="H416" i="13" l="1"/>
  <c r="G416" i="13"/>
  <c r="A417" i="13"/>
  <c r="A418" i="13" l="1"/>
  <c r="G417" i="13"/>
  <c r="H417" i="13"/>
  <c r="A419" i="13" l="1"/>
  <c r="G418" i="13"/>
  <c r="H418" i="13"/>
  <c r="H419" i="13" l="1"/>
  <c r="A420" i="13"/>
  <c r="G419" i="13"/>
  <c r="H420" i="13" l="1"/>
  <c r="G420" i="13"/>
  <c r="A421" i="13"/>
  <c r="H421" i="13" l="1"/>
  <c r="A422" i="13"/>
  <c r="G421" i="13"/>
  <c r="A423" i="13" l="1"/>
  <c r="G422" i="13"/>
  <c r="H422" i="13"/>
  <c r="A424" i="13" l="1"/>
  <c r="G423" i="13"/>
  <c r="H423" i="13"/>
  <c r="H424" i="13" l="1"/>
  <c r="G424" i="13"/>
  <c r="A425" i="13"/>
  <c r="A426" i="13" l="1"/>
  <c r="G425" i="13"/>
  <c r="H425" i="13"/>
  <c r="A427" i="13" l="1"/>
  <c r="G426" i="13"/>
  <c r="H426" i="13"/>
  <c r="A428" i="13" l="1"/>
  <c r="G427" i="13"/>
  <c r="H427" i="13"/>
  <c r="H428" i="13" l="1"/>
  <c r="G428" i="13"/>
  <c r="A429" i="13"/>
  <c r="A430" i="13" l="1"/>
  <c r="G429" i="13"/>
  <c r="H429" i="13"/>
  <c r="G430" i="13" l="1"/>
  <c r="H430" i="13"/>
  <c r="A431" i="13"/>
  <c r="A432" i="13" l="1"/>
  <c r="G431" i="13"/>
  <c r="H431" i="13"/>
  <c r="G432" i="13" l="1"/>
  <c r="A433" i="13"/>
  <c r="H432" i="13"/>
  <c r="G433" i="13" l="1"/>
  <c r="H433" i="13"/>
  <c r="A434" i="13"/>
  <c r="H434" i="13" l="1"/>
  <c r="A435" i="13"/>
  <c r="G434" i="13"/>
  <c r="H435" i="13" l="1"/>
  <c r="A436" i="13"/>
  <c r="G435" i="13"/>
  <c r="G436" i="13" l="1"/>
  <c r="A437" i="13"/>
  <c r="H436" i="13"/>
  <c r="H437" i="13" l="1"/>
  <c r="A438" i="13"/>
  <c r="G437" i="13"/>
  <c r="A439" i="13" l="1"/>
  <c r="G438" i="13"/>
  <c r="H438" i="13"/>
  <c r="A440" i="13" l="1"/>
  <c r="G439" i="13"/>
  <c r="H439" i="13"/>
  <c r="H440" i="13" l="1"/>
  <c r="G440" i="13"/>
  <c r="A441" i="13"/>
  <c r="H441" i="13" l="1"/>
  <c r="A442" i="13"/>
  <c r="G441" i="13"/>
  <c r="A443" i="13" l="1"/>
  <c r="G442" i="13"/>
  <c r="H442" i="13"/>
  <c r="A444" i="13" l="1"/>
  <c r="G443" i="13"/>
  <c r="H443" i="13"/>
  <c r="G444" i="13" l="1"/>
  <c r="A445" i="13"/>
  <c r="H444" i="13"/>
  <c r="G445" i="13" l="1"/>
  <c r="H445" i="13"/>
  <c r="A446" i="13"/>
  <c r="A447" i="13" l="1"/>
  <c r="G446" i="13"/>
  <c r="H446" i="13"/>
  <c r="A448" i="13" l="1"/>
  <c r="G447" i="13"/>
  <c r="H447" i="13"/>
  <c r="H448" i="13" l="1"/>
  <c r="G448" i="13"/>
  <c r="A449" i="13"/>
  <c r="H449" i="13" l="1"/>
  <c r="A450" i="13"/>
  <c r="G449" i="13"/>
  <c r="H450" i="13" l="1"/>
  <c r="A451" i="13"/>
  <c r="G450" i="13"/>
  <c r="G451" i="13" l="1"/>
  <c r="H451" i="13"/>
  <c r="A452" i="13"/>
  <c r="H452" i="13" l="1"/>
  <c r="G452" i="13"/>
  <c r="A453" i="13"/>
  <c r="H453" i="13" l="1"/>
  <c r="A454" i="13"/>
  <c r="G453" i="13"/>
  <c r="A455" i="13" l="1"/>
  <c r="G454" i="13"/>
  <c r="H454" i="13"/>
  <c r="H455" i="13" l="1"/>
  <c r="A456" i="13"/>
  <c r="G455" i="13"/>
  <c r="A457" i="13" l="1"/>
  <c r="H456" i="13"/>
  <c r="G456" i="13"/>
  <c r="G457" i="13" l="1"/>
  <c r="H457" i="13"/>
  <c r="A458" i="13"/>
  <c r="G458" i="13" l="1"/>
  <c r="H458" i="13"/>
  <c r="A459" i="13"/>
  <c r="A460" i="13" l="1"/>
  <c r="G459" i="13"/>
  <c r="H459" i="13"/>
  <c r="H460" i="13" l="1"/>
  <c r="G460" i="13"/>
  <c r="A461" i="13"/>
  <c r="A462" i="13" l="1"/>
  <c r="G461" i="13"/>
  <c r="H461" i="13"/>
  <c r="A463" i="13" l="1"/>
  <c r="G462" i="13"/>
  <c r="H462" i="13"/>
  <c r="A464" i="13" l="1"/>
  <c r="G463" i="13"/>
  <c r="H463" i="13"/>
  <c r="G464" i="13" l="1"/>
  <c r="A465" i="13"/>
  <c r="H464" i="13"/>
  <c r="H465" i="13" l="1"/>
  <c r="A466" i="13"/>
  <c r="G465" i="13"/>
  <c r="G466" i="13" l="1"/>
  <c r="H466" i="13"/>
  <c r="A467" i="13"/>
  <c r="G467" i="13" l="1"/>
  <c r="H467" i="13"/>
  <c r="A468" i="13"/>
  <c r="H468" i="13" l="1"/>
  <c r="A469" i="13"/>
  <c r="G468" i="13"/>
  <c r="A470" i="13" l="1"/>
  <c r="G469" i="13"/>
  <c r="H469" i="13"/>
  <c r="G470" i="13" l="1"/>
  <c r="H470" i="13"/>
  <c r="A471" i="13"/>
  <c r="G471" i="13" l="1"/>
  <c r="H471" i="13"/>
  <c r="A472" i="13"/>
  <c r="G472" i="13" l="1"/>
  <c r="H472" i="13"/>
  <c r="A473" i="13"/>
  <c r="A474" i="13" l="1"/>
  <c r="G473" i="13"/>
  <c r="H473" i="13"/>
  <c r="X33" i="49"/>
  <c r="P3" i="51"/>
  <c r="P4" i="50"/>
  <c r="O3" i="51"/>
  <c r="K3" i="51"/>
  <c r="X32" i="49"/>
  <c r="N3" i="51"/>
  <c r="A138" i="64" l="1"/>
  <c r="G474" i="13"/>
  <c r="H474" i="13"/>
  <c r="A475" i="13"/>
  <c r="A183" i="64"/>
  <c r="A182" i="64"/>
  <c r="F159" i="64"/>
  <c r="I3" i="51"/>
  <c r="J3" i="51"/>
  <c r="O4" i="50"/>
  <c r="N4" i="50"/>
  <c r="E121" i="64" l="1"/>
  <c r="G475" i="13"/>
  <c r="H475" i="13"/>
  <c r="A476" i="13"/>
  <c r="A23" i="64"/>
  <c r="F44" i="64"/>
  <c r="A68" i="64"/>
  <c r="A67" i="64"/>
  <c r="K4" i="50"/>
  <c r="I4" i="50"/>
  <c r="J4" i="50"/>
  <c r="G476" i="13" l="1"/>
  <c r="H476" i="13"/>
  <c r="A477" i="13"/>
  <c r="E6" i="64"/>
  <c r="G477" i="13" l="1"/>
  <c r="H477" i="13"/>
  <c r="A478" i="13"/>
  <c r="H478" i="13" l="1"/>
  <c r="A479" i="13"/>
  <c r="G478" i="13"/>
  <c r="A480" i="13" l="1"/>
  <c r="G479" i="13"/>
  <c r="H479" i="13"/>
  <c r="G480" i="13" l="1"/>
  <c r="H480" i="13"/>
  <c r="A481" i="13"/>
  <c r="H481" i="13" l="1"/>
  <c r="A482" i="13"/>
  <c r="G481" i="13"/>
  <c r="G482" i="13" l="1"/>
  <c r="H482" i="13"/>
  <c r="A483" i="13"/>
  <c r="A484" i="13" l="1"/>
  <c r="G483" i="13"/>
  <c r="H483" i="13"/>
  <c r="P4" i="56"/>
  <c r="X37" i="49"/>
  <c r="G484" i="13" l="1"/>
  <c r="H484" i="13"/>
  <c r="A485" i="13"/>
  <c r="O4" i="56"/>
  <c r="N4" i="56"/>
  <c r="K4" i="56"/>
  <c r="N4" i="55"/>
  <c r="O4" i="55"/>
  <c r="P4" i="55"/>
  <c r="A486" i="13" l="1"/>
  <c r="G485" i="13"/>
  <c r="H485" i="13"/>
  <c r="A848" i="64"/>
  <c r="A804" i="64"/>
  <c r="A849" i="64"/>
  <c r="F825" i="64"/>
  <c r="A631" i="64"/>
  <c r="I4" i="56"/>
  <c r="J4" i="56"/>
  <c r="X36" i="49"/>
  <c r="N4" i="54"/>
  <c r="P4" i="54"/>
  <c r="O4" i="54"/>
  <c r="K4" i="55"/>
  <c r="I4" i="55"/>
  <c r="J4" i="55"/>
  <c r="F605" i="64"/>
  <c r="A630" i="64"/>
  <c r="G486" i="13" l="1"/>
  <c r="H486" i="13"/>
  <c r="A487" i="13"/>
  <c r="E787" i="64"/>
  <c r="A504" i="64"/>
  <c r="I4" i="54"/>
  <c r="K4" i="54"/>
  <c r="J4" i="54"/>
  <c r="F525" i="64"/>
  <c r="A549" i="64"/>
  <c r="A548" i="64"/>
  <c r="A581" i="64"/>
  <c r="A582" i="64"/>
  <c r="P4" i="53"/>
  <c r="N4" i="53"/>
  <c r="X35" i="49"/>
  <c r="O4" i="53"/>
  <c r="H487" i="13" l="1"/>
  <c r="A488" i="13"/>
  <c r="G487" i="13"/>
  <c r="A382" i="64"/>
  <c r="E487" i="64"/>
  <c r="K4" i="53"/>
  <c r="I4" i="53"/>
  <c r="J4" i="53"/>
  <c r="F403" i="64"/>
  <c r="A427" i="64"/>
  <c r="A426" i="64"/>
  <c r="A489" i="13" l="1"/>
  <c r="G488" i="13"/>
  <c r="H488" i="13"/>
  <c r="E365" i="64"/>
  <c r="A490" i="13" l="1"/>
  <c r="G489" i="13"/>
  <c r="H489" i="13"/>
  <c r="H490" i="13" l="1"/>
  <c r="A491" i="13"/>
  <c r="G490" i="13"/>
  <c r="A492" i="13" l="1"/>
  <c r="G491" i="13"/>
  <c r="H491" i="13"/>
  <c r="H492" i="13" l="1"/>
  <c r="A493" i="13"/>
  <c r="G492" i="13"/>
  <c r="H493" i="13" l="1"/>
  <c r="A494" i="13"/>
  <c r="G493" i="13"/>
  <c r="H494" i="13" l="1"/>
  <c r="G494" i="13"/>
</calcChain>
</file>

<file path=xl/comments1.xml><?xml version="1.0" encoding="utf-8"?>
<comments xmlns="http://schemas.openxmlformats.org/spreadsheetml/2006/main">
  <authors>
    <author>TuanBV</author>
  </authors>
  <commentList>
    <comment ref="D79" authorId="0">
      <text>
        <r>
          <rPr>
            <b/>
            <sz val="9"/>
            <color indexed="81"/>
            <rFont val="Tahoma"/>
            <family val="2"/>
          </rPr>
          <t>TuanBV:</t>
        </r>
        <r>
          <rPr>
            <sz val="9"/>
            <color indexed="81"/>
            <rFont val="Tahoma"/>
            <family val="2"/>
          </rPr>
          <t xml:space="preserve">
Còn công tác trát VXM, Láng VXM, mác 100 của Sê nô</t>
        </r>
      </text>
    </comment>
  </commentList>
</comments>
</file>

<file path=xl/comments2.xml><?xml version="1.0" encoding="utf-8"?>
<comments xmlns="http://schemas.openxmlformats.org/spreadsheetml/2006/main">
  <authors>
    <author>TuanBV</author>
  </authors>
  <commentList>
    <comment ref="Y1" authorId="0">
      <text>
        <r>
          <rPr>
            <b/>
            <sz val="9"/>
            <color indexed="81"/>
            <rFont val="Tahoma"/>
            <family val="2"/>
          </rPr>
          <t>TuanBV:</t>
        </r>
        <r>
          <rPr>
            <sz val="9"/>
            <color indexed="81"/>
            <rFont val="Tahoma"/>
            <family val="2"/>
          </rPr>
          <t xml:space="preserve">
TÍNH CHO 1M3</t>
        </r>
      </text>
    </comment>
    <comment ref="AN1" authorId="0">
      <text>
        <r>
          <rPr>
            <b/>
            <sz val="9"/>
            <color indexed="81"/>
            <rFont val="Tahoma"/>
            <family val="2"/>
          </rPr>
          <t>TuanBV:</t>
        </r>
        <r>
          <rPr>
            <sz val="9"/>
            <color indexed="81"/>
            <rFont val="Tahoma"/>
            <family val="2"/>
          </rPr>
          <t xml:space="preserve">
KG</t>
        </r>
      </text>
    </comment>
    <comment ref="AP1" authorId="0">
      <text>
        <r>
          <rPr>
            <b/>
            <sz val="9"/>
            <color indexed="81"/>
            <rFont val="Tahoma"/>
            <family val="2"/>
          </rPr>
          <t>TuanBV:</t>
        </r>
        <r>
          <rPr>
            <sz val="9"/>
            <color indexed="81"/>
            <rFont val="Tahoma"/>
            <family val="2"/>
          </rPr>
          <t xml:space="preserve">
Cấp phối bê tông gạch vỡ, mác 50</t>
        </r>
      </text>
    </comment>
    <comment ref="AQ1" authorId="0">
      <text>
        <r>
          <rPr>
            <b/>
            <sz val="9"/>
            <color indexed="81"/>
            <rFont val="Tahoma"/>
            <family val="2"/>
          </rPr>
          <t>TuanBV:</t>
        </r>
        <r>
          <rPr>
            <sz val="9"/>
            <color indexed="81"/>
            <rFont val="Tahoma"/>
            <family val="2"/>
          </rPr>
          <t xml:space="preserve">
Cấp phối bê tông gạch vỡ M50</t>
        </r>
      </text>
    </comment>
    <comment ref="AP5" authorId="0">
      <text>
        <r>
          <rPr>
            <b/>
            <sz val="9"/>
            <color indexed="81"/>
            <rFont val="Tahoma"/>
            <family val="2"/>
          </rPr>
          <t>TuanBV:</t>
        </r>
        <r>
          <rPr>
            <sz val="9"/>
            <color indexed="81"/>
            <rFont val="Tahoma"/>
            <family val="2"/>
          </rPr>
          <t xml:space="preserve">
KLĐM</t>
        </r>
      </text>
    </comment>
    <comment ref="AQ5" authorId="0">
      <text>
        <r>
          <rPr>
            <b/>
            <sz val="9"/>
            <color indexed="81"/>
            <rFont val="Tahoma"/>
            <family val="2"/>
          </rPr>
          <t>TuanBV:</t>
        </r>
        <r>
          <rPr>
            <sz val="9"/>
            <color indexed="81"/>
            <rFont val="Tahoma"/>
            <family val="2"/>
          </rPr>
          <t xml:space="preserve">
KLĐM</t>
        </r>
      </text>
    </comment>
  </commentList>
</comments>
</file>

<file path=xl/comments3.xml><?xml version="1.0" encoding="utf-8"?>
<comments xmlns="http://schemas.openxmlformats.org/spreadsheetml/2006/main">
  <authors>
    <author>TuanBV</author>
  </authors>
  <commentList>
    <comment ref="Y1" authorId="0">
      <text>
        <r>
          <rPr>
            <b/>
            <sz val="9"/>
            <color indexed="81"/>
            <rFont val="Tahoma"/>
            <family val="2"/>
          </rPr>
          <t>TuanBV:</t>
        </r>
        <r>
          <rPr>
            <sz val="9"/>
            <color indexed="81"/>
            <rFont val="Tahoma"/>
            <family val="2"/>
          </rPr>
          <t xml:space="preserve">
TÍNH CHO 1M3 XÂY, M75</t>
        </r>
      </text>
    </comment>
    <comment ref="Z1" authorId="0">
      <text>
        <r>
          <rPr>
            <b/>
            <sz val="9"/>
            <color indexed="81"/>
            <rFont val="Tahoma"/>
            <family val="2"/>
          </rPr>
          <t>TuanBV:</t>
        </r>
        <r>
          <rPr>
            <sz val="9"/>
            <color indexed="81"/>
            <rFont val="Tahoma"/>
            <family val="2"/>
          </rPr>
          <t xml:space="preserve">
TÍNH CHO 1M3 XÂY, M75</t>
        </r>
      </text>
    </comment>
    <comment ref="AA1" authorId="0">
      <text>
        <r>
          <rPr>
            <b/>
            <sz val="9"/>
            <color indexed="81"/>
            <rFont val="Tahoma"/>
            <family val="2"/>
          </rPr>
          <t>TuanBV:</t>
        </r>
        <r>
          <rPr>
            <sz val="9"/>
            <color indexed="81"/>
            <rFont val="Tahoma"/>
            <family val="2"/>
          </rPr>
          <t xml:space="preserve">
SỐ VIÊN GẠCH, TÍNH CHO 1M3 XÂY THEO ĐỊNH MỨC</t>
        </r>
      </text>
    </comment>
  </commentList>
</comments>
</file>

<file path=xl/comments4.xml><?xml version="1.0" encoding="utf-8"?>
<comments xmlns="http://schemas.openxmlformats.org/spreadsheetml/2006/main">
  <authors>
    <author>TuanBV</author>
  </authors>
  <commentList>
    <comment ref="E8" authorId="0">
      <text>
        <r>
          <rPr>
            <b/>
            <sz val="9"/>
            <color indexed="81"/>
            <rFont val="Tahoma"/>
            <family val="2"/>
          </rPr>
          <t xml:space="preserve">TuanBV:
</t>
        </r>
        <r>
          <rPr>
            <sz val="9"/>
            <color indexed="81"/>
            <rFont val="Tahoma"/>
            <family val="2"/>
          </rPr>
          <t>ĐÁ 4X6</t>
        </r>
      </text>
    </comment>
    <comment ref="E15" authorId="0">
      <text>
        <r>
          <rPr>
            <b/>
            <sz val="9"/>
            <color indexed="81"/>
            <rFont val="Tahoma"/>
            <family val="2"/>
          </rPr>
          <t xml:space="preserve">TuanBV:
</t>
        </r>
        <r>
          <rPr>
            <sz val="9"/>
            <color indexed="81"/>
            <rFont val="Tahoma"/>
            <family val="2"/>
          </rPr>
          <t>ĐÁ 4X6</t>
        </r>
      </text>
    </comment>
    <comment ref="E22" authorId="0">
      <text>
        <r>
          <rPr>
            <b/>
            <sz val="9"/>
            <color indexed="81"/>
            <rFont val="Tahoma"/>
            <family val="2"/>
          </rPr>
          <t xml:space="preserve">TuanBV:
</t>
        </r>
        <r>
          <rPr>
            <sz val="9"/>
            <color indexed="81"/>
            <rFont val="Tahoma"/>
            <family val="2"/>
          </rPr>
          <t>ĐÁ 4X6</t>
        </r>
      </text>
    </comment>
    <comment ref="E29" authorId="0">
      <text>
        <r>
          <rPr>
            <b/>
            <sz val="9"/>
            <color indexed="81"/>
            <rFont val="Tahoma"/>
            <family val="2"/>
          </rPr>
          <t xml:space="preserve">TuanBV:
</t>
        </r>
        <r>
          <rPr>
            <sz val="9"/>
            <color indexed="81"/>
            <rFont val="Tahoma"/>
            <family val="2"/>
          </rPr>
          <t>ĐÁ 4X6</t>
        </r>
      </text>
    </comment>
  </commentList>
</comments>
</file>

<file path=xl/sharedStrings.xml><?xml version="1.0" encoding="utf-8"?>
<sst xmlns="http://schemas.openxmlformats.org/spreadsheetml/2006/main" count="9431" uniqueCount="1904">
  <si>
    <t>STT</t>
  </si>
  <si>
    <t>NỘI DUNG CÔNG VIỆC</t>
  </si>
  <si>
    <t>LÝ TRÌNH</t>
  </si>
  <si>
    <t>GIỜ BĐ</t>
  </si>
  <si>
    <t>GIỜ KT</t>
  </si>
  <si>
    <t>NGÀY NB</t>
  </si>
  <si>
    <t>THÁNG NB</t>
  </si>
  <si>
    <t>NGÀY CV</t>
  </si>
  <si>
    <t>THÁNG CV</t>
  </si>
  <si>
    <t>THỜI GIAN
NGHIỆM THU NỘI BỘ</t>
  </si>
  <si>
    <t>THỜI GIAN
NGHIỆM THU CÔNG VIỆC</t>
  </si>
  <si>
    <t>SỐ HIỆU BBNT
NỘI BỘ</t>
  </si>
  <si>
    <t>SỐ HIỆU
PHIẾU YÊU CẦU</t>
  </si>
  <si>
    <t>SỐ HIỆU BBNT
CÔNG VIỆC</t>
  </si>
  <si>
    <t>SỐ BB</t>
  </si>
  <si>
    <t>Xi măng</t>
  </si>
  <si>
    <t xml:space="preserve">TCVN 2682 -92 </t>
  </si>
  <si>
    <t>Cốt Thép</t>
  </si>
  <si>
    <t>TCVN 1651-2008</t>
  </si>
  <si>
    <t>TCVN 1770 - 1986</t>
  </si>
  <si>
    <t>Cát</t>
  </si>
  <si>
    <t>Đá dăm (Cốt liệu thô)</t>
  </si>
  <si>
    <t xml:space="preserve">TCVN 1171-1986, 22TCN 57-1984 </t>
  </si>
  <si>
    <t>Gạch Xây</t>
  </si>
  <si>
    <t>TCVN 1770 -86</t>
  </si>
  <si>
    <t>Phụ gia</t>
  </si>
  <si>
    <t>TCXD 173 – 1989</t>
  </si>
  <si>
    <t>TCVN 4506-1987</t>
  </si>
  <si>
    <t>Nước</t>
  </si>
  <si>
    <t>Cốp pha, Đà giáo</t>
  </si>
  <si>
    <t>TCVN 1075:1971</t>
  </si>
  <si>
    <t>TIÊU CHUẨN</t>
  </si>
  <si>
    <t>Ký hiệu</t>
  </si>
  <si>
    <t>Tên tiêu chuẩn</t>
  </si>
  <si>
    <t>Tải về</t>
  </si>
  <si>
    <t>Tiêu chuẩn thi công và nghiệm thu công trình xây dựng.</t>
  </si>
  <si>
    <t>TCVN 4091:198</t>
  </si>
  <si>
    <t>Nghiệm thu các công trình xây dựng</t>
  </si>
  <si>
    <t> Tải về</t>
  </si>
  <si>
    <t>Kết cấu gạch đá. Quy phạm thi công và nghiệm thu</t>
  </si>
  <si>
    <t>Kết cấu bê tông và BTCT lắp ghép.Quy phạm thi công và nghiệm thu</t>
  </si>
  <si>
    <t>Kết cấu bê tông và BTCT toàn khối.Quy phạm thi công và nghiệm thu</t>
  </si>
  <si>
    <t>HT cấp thoát nước bên trong nhà và CT. Quy phạm thi công và nghiệm thu</t>
  </si>
  <si>
    <t>Quản lý chất lượng xây lắp công trình xây dựng. Nguyên tắc cơ bản</t>
  </si>
  <si>
    <t> Nghiệm thu thiết bị đã lắp đặt xong- Nguyên tắc cơ bản</t>
  </si>
  <si>
    <t>Bàn giao công trình xây dựng. Nguyên tắc cơ bản</t>
  </si>
  <si>
    <t>Bể chứa bằng bê tông cốt thép. Quy phạm thi công và nghiệm thu</t>
  </si>
  <si>
    <t>Công tác hoàn thiện trong xây dựng. Thi công và nghiệm thu</t>
  </si>
  <si>
    <t>Mái và sàn BTCT trong công trình xây dựng.Yêu cầu kỹ thuật chống thấm nước</t>
  </si>
  <si>
    <t> Công tác trắc địa trong xây dựng</t>
  </si>
  <si>
    <t> Nhà cao tầng - công tác khảo sát địa kỹ thuật</t>
  </si>
  <si>
    <t> Tổ chức thi công</t>
  </si>
  <si>
    <t> Sử dung máy xây dựng -Yêu cầu chung</t>
  </si>
  <si>
    <t>Tải về </t>
  </si>
  <si>
    <t> Quy trình lập thiết kế TCXD và TKTC</t>
  </si>
  <si>
    <t> Khảo sát cho xây dựng - Nguyên tắc cơ bản</t>
  </si>
  <si>
    <t> TCVN4447:1987</t>
  </si>
  <si>
    <t> Công tác đất - Quy phạm thi công và nghiệm thu</t>
  </si>
  <si>
    <t> Tải về 1   2    3</t>
  </si>
  <si>
    <t> Tải về 1     2</t>
  </si>
  <si>
    <t> Tải về 1    2</t>
  </si>
  <si>
    <t>Tải về 1   2    3 </t>
  </si>
  <si>
    <t>Mã hiệu và tên tiêu chuẩn hết hiệu lực</t>
  </si>
  <si>
    <t>Mã hiệu và tên tiêu chuẩn hiện hành</t>
  </si>
  <si>
    <t>Quy phạm thiết kế kết cấu gỗ</t>
  </si>
  <si>
    <t>Hủy do không còn phù hợp</t>
  </si>
  <si>
    <t>Tiêu chuẩn thiết kế nền nhà và công trình</t>
  </si>
  <si>
    <t>TCVN 9362:2012</t>
  </si>
  <si>
    <t>Thi công và nghiệm thu các công tác nền móng</t>
  </si>
  <si>
    <t>TCVN 9361:2012</t>
  </si>
  <si>
    <t>Công tác nền móng – Thi công và nghiệm thu</t>
  </si>
  <si>
    <t>(Gộp với: TCXD 136 : 1985)</t>
  </si>
  <si>
    <t>Thuỷ tinh - Phương pháp chuẩn bị mẫu trong phòng thí nghiệm để phân tích hoá học - Quy định chung</t>
  </si>
  <si>
    <t>TCVN 9171:2012</t>
  </si>
  <si>
    <t>Thủy tinh và cát để sản xuất thủy tinh – Quy định chung trong phân tích hóa học</t>
  </si>
  <si>
    <t>Thuỷ tinh - Phương pháp phân tích hoá học xác định hàm lượng Silic dioxyt</t>
  </si>
  <si>
    <t>TCVN 9172:2012</t>
  </si>
  <si>
    <t>Thuỷ tinh không màu - Phương pháp xác định hàm lượng Silic đioxit</t>
  </si>
  <si>
    <t>Thuỷ tinh - Phương pháp phân tích hoá học xác định hàm lượng lưu huỳnh trioxyt</t>
  </si>
  <si>
    <t>TCVN 9173:2012</t>
  </si>
  <si>
    <t>Thuỷ tinh không màu - Phương pháp xác định hàm lượng Sunfua trioxit</t>
  </si>
  <si>
    <t>Thuỷ tinh - Phương pháp phân tích hoá học xác định hàm lượng sắt ôxýt</t>
  </si>
  <si>
    <t>TCVN 9174:2012</t>
  </si>
  <si>
    <t>Thuỷ tinh không màu - Phương pháp xác định hàm lượng Sắt oxit</t>
  </si>
  <si>
    <t>Thuỷ tinh - Phương pháp phân tích hoá học xác định hàm lượng nhôm oxyt</t>
  </si>
  <si>
    <t>TCVN 9175:2012</t>
  </si>
  <si>
    <t>Thuỷ tinh không màu - Phương pháp xác định hàm lượng Nhôm oxit</t>
  </si>
  <si>
    <t>Thuỷ tinh - Phương pháp phân tích hoá học xác định hàm lượng canxi oxyt và magiê oxyt</t>
  </si>
  <si>
    <t>TCVN 9176:2012</t>
  </si>
  <si>
    <t>Thuỷ tinh không màu - Phương pháp xác định hàm lượng Canxi oxit và Magiê oxit</t>
  </si>
  <si>
    <t>10.TCXD 134 : 1985</t>
  </si>
  <si>
    <t>Thuỷ tinh - Phương pháp phân tích hoá học xác định hàm lượng natri oxyt và kali oxyt</t>
  </si>
  <si>
    <t>TCVN 9177:2012</t>
  </si>
  <si>
    <t>Thuỷ tinh không màu - Phương pháp xác định hàm lượng Natri oxit và Kali oxit</t>
  </si>
  <si>
    <t>11.TCXD 137 : 1985</t>
  </si>
  <si>
    <t>Thuỷ tinh - Cát để sản xuất thuỷ tinh phương pháp phân tích hoá học - Xác định hàm lượng sắt oxyt</t>
  </si>
  <si>
    <t>TCVN 9178:2012</t>
  </si>
  <si>
    <t>Thuỷ tinh màu - Phương pháp xác định hàm lượngSắt oxit</t>
  </si>
  <si>
    <t>12.TCXD 138 : 1985</t>
  </si>
  <si>
    <t>Thuỷ tinh - Cát để sản xuất thuỷ tinh phương pháp phân tích hoá học - Xác định hàm lượng titan đioxyt</t>
  </si>
  <si>
    <t>TCVN 9179:2012</t>
  </si>
  <si>
    <t>Thuỷ tinh màu - Phương pháp xác định hàm lượngTitan đioxit</t>
  </si>
  <si>
    <t>13.TCXD 139 : 1985</t>
  </si>
  <si>
    <t>Thuỷ tinh - Cát để sản xuất thuỷ tinh - Phương pháp phân tích hoá học - Xác định hàm lượng đồng oxyt</t>
  </si>
  <si>
    <t>TCVN 9180:2012</t>
  </si>
  <si>
    <t>Thuỷ tinh màu - Phương pháp xác định hàm lượngĐồng oxit</t>
  </si>
  <si>
    <t>14.TCXD 140 : 1985</t>
  </si>
  <si>
    <t>Thuỷ tinh - Cát để sản xuất thuỷ tinh - Phương pháp phân tích hoá học - Xác định hàm lượng côban oxyt</t>
  </si>
  <si>
    <t>TCVN 9181:2012</t>
  </si>
  <si>
    <t>Thuỷ tinh màu - Phương pháp xác định hàm lượngCoban oxit</t>
  </si>
  <si>
    <t>15.TCXD 141 : 1985</t>
  </si>
  <si>
    <t>Thuỷ tinh - Cát để sản xuất thuỷ tinh - Phương pháp phân tích hoá học - Xác định hàm lượng niken oxyt</t>
  </si>
  <si>
    <t>TCVN 9182:2012</t>
  </si>
  <si>
    <t>Thuỷ tinh màu - Phương pháp xác định hàm lượngNiken oxit</t>
  </si>
  <si>
    <t>16.TCXD 147 : 1986</t>
  </si>
  <si>
    <t>Nhà ở lắp ghép tấm lớn - Tiêu chuẩn thi công và nghiệm thu</t>
  </si>
  <si>
    <t>TCVN 9376:2012</t>
  </si>
  <si>
    <t>Nhà ở lắp ghép tấm lớn - Thi công và nghiệm thu công tác lắp ghép</t>
  </si>
  <si>
    <t>17.TCXD 149:1986</t>
  </si>
  <si>
    <t>Bảo vệ kết cấu xây dựng khỏi bị ăn mòn</t>
  </si>
  <si>
    <t>18.TCXD 151 : 1986</t>
  </si>
  <si>
    <t>Cátsử dụng trong công nghiệp thuỷ tinh - Yêu cầu kỹ thuật</t>
  </si>
  <si>
    <t>TCVN 9036:2012</t>
  </si>
  <si>
    <t>Nguyên liệu để sản xuất thủy tinh cát – Yêu cầu kỹ thuật</t>
  </si>
  <si>
    <t>19.TCXD 152 : 1986</t>
  </si>
  <si>
    <t>Cát sử dụng trong công nghiệp thuỷ tinh - Phương pháp lấy mẫu</t>
  </si>
  <si>
    <t>TCVN 9037:2012</t>
  </si>
  <si>
    <t>Nguyên liệu để sản xuất thủy tinh cát – Phương pháp lấy mẫu</t>
  </si>
  <si>
    <t>20.TCXD 153 : 1986</t>
  </si>
  <si>
    <t>TCVN 9183:2012</t>
  </si>
  <si>
    <t>Cát để sản xuất thủy tinh – Phương pháp xác định hàm lượng Silic đioxit</t>
  </si>
  <si>
    <t>21.TCXD 154 : 1986</t>
  </si>
  <si>
    <t>TCVN 9184:2012</t>
  </si>
  <si>
    <t>Cát để sản xuất thủy tinh – Phương pháp xác định hàm lượng Sắt oxit</t>
  </si>
  <si>
    <t>22.TCXD 155 : 1986</t>
  </si>
  <si>
    <t>TCVN 9185:2012</t>
  </si>
  <si>
    <t>Cát để sản xuất thủy tinh – Phương pháp xác định hàm lượng Nhôm oxit</t>
  </si>
  <si>
    <t>23.TCXD 156 : 1986</t>
  </si>
  <si>
    <t>TCVN 9186:2012</t>
  </si>
  <si>
    <t>Cát để sản xuất thủy tinh – Phương pháp xác định hàm lượng Titan đioxit</t>
  </si>
  <si>
    <t>24.TCXD 157 : 1986</t>
  </si>
  <si>
    <t>Cát sử dụng trong công nghiệp thuỷ tinh - Phương pháp xác định độ ẩm</t>
  </si>
  <si>
    <t>TCVN 9187:2012</t>
  </si>
  <si>
    <t>Cát để sản xuất thủy tinh – Phương pháp xác định hàm lượng độ ẩm</t>
  </si>
  <si>
    <t>25.TCXD 158 : 1986</t>
  </si>
  <si>
    <t>Cát sử dụng trong công nghiệp thuỷ tinh - Phương pháp xác định thành phần cỡ hạt</t>
  </si>
  <si>
    <t>TCVN 9038:2011</t>
  </si>
  <si>
    <t>Nguyên liệu để sản xuất thủy tinh cát – Phương pháp xác định thành phần cỡ hạt</t>
  </si>
  <si>
    <t>26.TCXD 159 : 1986</t>
  </si>
  <si>
    <t>Trát đá trang trí - Thi công và nghiệm thu</t>
  </si>
  <si>
    <t>TCVN 9377-2:2012</t>
  </si>
  <si>
    <t>(Gộp TCXD 159:1986 với TCXD 303:2006)</t>
  </si>
  <si>
    <t>27.TCXD 40 : 1987</t>
  </si>
  <si>
    <t>Kết cấu xây dựng và nền - Nguyên tắc cơ bản về tính toán</t>
  </si>
  <si>
    <t>TCVN 9379:2012</t>
  </si>
  <si>
    <t>28.TCXD 74:1987</t>
  </si>
  <si>
    <t>Đất xây dựng - Phương pháp chỉnh lý thống kê các kết quả xác định các đặc trưng của chúng</t>
  </si>
  <si>
    <t>TCVN 9153:2012</t>
  </si>
  <si>
    <t>Đất xây dựng – Phương pháp chỉnh lý kết quả thí nghiệm mẫu đất</t>
  </si>
  <si>
    <t>29.TCXD 160:1987</t>
  </si>
  <si>
    <t>Khảo sát địa kỹ thuật phục vụ cho thiết kế và thi công móng cọc</t>
  </si>
  <si>
    <t>30.TCXD 163 : 1987</t>
  </si>
  <si>
    <t>Nhà nâng sàn- Thi công và nghiệm thu</t>
  </si>
  <si>
    <t>31.TCXD 166 : 1989</t>
  </si>
  <si>
    <t>Giàn giáo xây dựng</t>
  </si>
  <si>
    <t>32.TCXD 167:1989</t>
  </si>
  <si>
    <t>Xi măng poóc lăng dùng để sản xuất tấm sóng amiăng - Xi măng - Yêu cầu kỹ thuật</t>
  </si>
  <si>
    <t>33.TCXD 169 : 1989</t>
  </si>
  <si>
    <t>Nhà nâng sàn - Tiêu chuẩn thiết kế</t>
  </si>
  <si>
    <t>34.TCXD 171 : 1989</t>
  </si>
  <si>
    <t>Bê tông nặng - Phương pháp không phá hoại sử dụng kết hợp máy đo siêu âm và súng bật nẩy để xác định cường độ nén</t>
  </si>
  <si>
    <t>TCVN 9335:2012</t>
  </si>
  <si>
    <t>Bê tông nặng – Phương pháp thử không phá hủy – Xác định cường độ nén sử dụng kết hợp máy đo siêu âm và súng bật nẩy</t>
  </si>
  <si>
    <t>35.TCXD 25 : 1991</t>
  </si>
  <si>
    <t>Đặt đường dẫn điện trong nhà ở và công trình công cộng - Tiêu chuẩn thiết kế</t>
  </si>
  <si>
    <t>TCVN 9207:2012</t>
  </si>
  <si>
    <t>36.TCXD 27 : 1991</t>
  </si>
  <si>
    <t>Đặt thiết bị điện trong nhà ở và công trình công cộng - Tiêu chuẩn thiết kế</t>
  </si>
  <si>
    <t>TCVN 9206:2012</t>
  </si>
  <si>
    <t>37.TCXD 192 : 1996</t>
  </si>
  <si>
    <t>Cửa gỗ, cửa đi, cửa sổ - Yêu cầu kỹ thuật</t>
  </si>
  <si>
    <t>TCN 9366-1 : 2012</t>
  </si>
  <si>
    <t>Cửa đi, cửa sổ - Phần 1- Cửa gỗ</t>
  </si>
  <si>
    <t>38.TCXD 193 : 1996</t>
  </si>
  <si>
    <t>Dung sai trong xây dựng công trình - Các phương pháp đo kiểm công trình và cấu kiện chế sẵn của công trình</t>
  </si>
  <si>
    <t>TCVN 9262-1:2012</t>
  </si>
  <si>
    <t>(ISO 7976-1:1989)</t>
  </si>
  <si>
    <t>Dung sai trong xây dựng công trình – Phương pháp đo kiểm công trình và cấu kiện chế sẵn của công trình – Phần 1: Phương pháp và dụng cụ đo</t>
  </si>
  <si>
    <t>39.TCXD 200 : 1997</t>
  </si>
  <si>
    <t>Nhà cao tầng - Kỹ thuật về bê tông bơm</t>
  </si>
  <si>
    <t>40.TCXD 201 : 1997</t>
  </si>
  <si>
    <t>Nhà cao tầng - Kỹ thuật sử dụng giáo treo</t>
  </si>
  <si>
    <t>TCVN 9380:2012</t>
  </si>
  <si>
    <t>41.TCXD 202 : 1997</t>
  </si>
  <si>
    <t>Nhà cao tầng - Thi công phần thân</t>
  </si>
  <si>
    <t>42.TCXD 203 : 1997</t>
  </si>
  <si>
    <t>Nhà cao tầng - Kỹ thuật đo đạc phục vụ công tác thi công</t>
  </si>
  <si>
    <t>TCVN 9364:2012</t>
  </si>
  <si>
    <t>43.TCXD 208 : 1998</t>
  </si>
  <si>
    <t>Đá Bazan làm phụ gia cho xi măng - Yêu cầu kỹ thuật và phương pháp thử</t>
  </si>
  <si>
    <t>44.TCXD 210 : 1998</t>
  </si>
  <si>
    <t>Dung sai trong xây dựng công trình - Phương pháp đo kiểu công trình và các cấu kiện chế sẵn của công trình - vị trí các điểm đo</t>
  </si>
  <si>
    <t>TCVN 9264:2012</t>
  </si>
  <si>
    <t>(ISO 7976-2:1989)</t>
  </si>
  <si>
    <t>Dung sai trong xây dựng công trình - Phương pháp đo kiểm công trình và cấu kiện chế sẵn của công trình – Phần 2: Vị trí các điểm đo</t>
  </si>
  <si>
    <t>45.TCXD 211 : 1998</t>
  </si>
  <si>
    <t>Dung sai trong xây dựng công trình - Giám định về kích thước và kiểm tra công tác thi công</t>
  </si>
  <si>
    <t>TCVN 9259-8:2012</t>
  </si>
  <si>
    <t>(ISO 3443-8:1989)</t>
  </si>
  <si>
    <t>Dung sai trong xây dựng công trình – Phần 8: Giám định về kích thước và kiểm tra công tác thi công</t>
  </si>
  <si>
    <t>46.TCXD 213 : 1998</t>
  </si>
  <si>
    <t>Nhà và công trình dân dụng - Từ vựng - Thuật ngữ chung</t>
  </si>
  <si>
    <t>TCVN 9254-1:2012</t>
  </si>
  <si>
    <t>(ISO 6707-1: 2003)</t>
  </si>
  <si>
    <t>Nhà và công trình dân dụng- Từ vựng- Phần 1: Thuật ngữ chung</t>
  </si>
  <si>
    <t>47.TCXD 215 : 1998</t>
  </si>
  <si>
    <t>Phòng cháy chữa cháy - Từ vựng - Phát hiện cháy và báo động cháy</t>
  </si>
  <si>
    <t>TCVN 9310-3: 2012</t>
  </si>
  <si>
    <t>(ISO 8421-3:1990)</t>
  </si>
  <si>
    <t>48.TCXD 216 : 1998</t>
  </si>
  <si>
    <t>Phòng cháy chữa cháy - Từ vựng - Thiết bị chữa cháy</t>
  </si>
  <si>
    <t>TCVN 9310-4: 2012</t>
  </si>
  <si>
    <t>(ISO 8421-4:1990)</t>
  </si>
  <si>
    <t>49.TCXD 217 : 1998</t>
  </si>
  <si>
    <t>Phòng cháy chữa cháy - Từ vựng - Thuật ngữ chuyên dùng cho phòng cháy chữa cháy cứu nạn và xử lý vật liệu nguy hiểm</t>
  </si>
  <si>
    <t>TCVN 9310-8: 2012</t>
  </si>
  <si>
    <t>(ISO 8421-8:1990)</t>
  </si>
  <si>
    <t>50.TCXD 224 : 1998</t>
  </si>
  <si>
    <t>Thép dùng trong bê tông cốt thép - Phương pháp thử uốn và uốn lại</t>
  </si>
  <si>
    <t>Sử dụng</t>
  </si>
  <si>
    <t>TCVN 6287:1997</t>
  </si>
  <si>
    <t>(ISO 10065:1990)</t>
  </si>
  <si>
    <t>Thép thanh côt bê tông – Thử uốn và uốn lại không hoàn toàn</t>
  </si>
  <si>
    <t>51.TCXD 225 : 1998</t>
  </si>
  <si>
    <t>Bê tông nặng - Đánh giá chất lượng bê tông - Phương pháp xác định vận tốc xung siêu âm</t>
  </si>
  <si>
    <t>TCVN 9357:2012</t>
  </si>
  <si>
    <t>52.TCXD 226 : 1999</t>
  </si>
  <si>
    <t>Đất xây dựng - Phương pháp thí nghiệm hiện trường - Thí nghiệm xuyên tiêu chuẩn</t>
  </si>
  <si>
    <t>TCVN 9351:2012</t>
  </si>
  <si>
    <t>Đất xây dựng - Phương phápthí nghiệm hiện trường - Thí nghiệm xuyên tiêu chuẩn (SPT)</t>
  </si>
  <si>
    <t>53.TCXD 227 : 1999</t>
  </si>
  <si>
    <t>Cốt thép trong bê tông - Hàn hồ quang</t>
  </si>
  <si>
    <t>TCVN 9392:2012</t>
  </si>
  <si>
    <t>Thép cốt bê tông - Hàn hồ quang</t>
  </si>
  <si>
    <t>54.TCXD 230 : 1998</t>
  </si>
  <si>
    <t>Nền nhà chống nồm - Tiêu chuẩn thiết kế thi công</t>
  </si>
  <si>
    <t>TCVN 9359:2012</t>
  </si>
  <si>
    <t>Nền nhà chống nồm - Thiết kế và thi công</t>
  </si>
  <si>
    <t>55.TCXD 231 : 1999</t>
  </si>
  <si>
    <t>Chất kết dính vôi - Đá bazan - Yêu cầu kỹ thuật</t>
  </si>
  <si>
    <t>56.TCXD 234 : 1999</t>
  </si>
  <si>
    <t>Nối cốt thép có gờ bằng phương pháp dập ép ống nối - Hướng dẫn thiết kế thi công và nghiệm thu</t>
  </si>
  <si>
    <t>TCVN 9390:2012</t>
  </si>
  <si>
    <t>Thép cốt bê tông – Mối nối bằng dập ép ống – Yêu cầu thiết kế thi công và nghiệm thu</t>
  </si>
  <si>
    <t>57.TCXD 236 : 1999</t>
  </si>
  <si>
    <t>Lớp phủ mặt kết cấu xây dựng - Phương pháp kéo đứt thử độ bám dính bền</t>
  </si>
  <si>
    <t>TCVN 9349:2012</t>
  </si>
  <si>
    <t>58.TCXD 237 : 1999</t>
  </si>
  <si>
    <t>Cửa kim loại, cửa đi, cửa sổ - Yêu cầu kỹ thuật chung</t>
  </si>
  <si>
    <t>TCN 9366-2 : 2012</t>
  </si>
  <si>
    <t>Cửa đi, cửa sổ- Phần 2- Cửa kim loại</t>
  </si>
  <si>
    <t>59.TCXD 238 : 1999</t>
  </si>
  <si>
    <t>Cốt liệu bê tông - Phương pháp hóa học xác định khả năng phản ứng kiềm - silic</t>
  </si>
  <si>
    <t>60.TCXD 240 : 2000</t>
  </si>
  <si>
    <t>Kết cấu bê tông cốt thép - Phương pháp điện từ xác định chiều dày bê tông bảo vệ vị trí và đường kính cốt thép trong bê tông</t>
  </si>
  <si>
    <t>TCVN 9356:2012</t>
  </si>
  <si>
    <t>Kết cấu bê tông cốt thép - Phương pháp điện từ xác định chiều dày lớp bê tông bảo vệ, vị trí và đường kính cốt thép trong bê tông</t>
  </si>
  <si>
    <t>61.TCXD 246 : 2000</t>
  </si>
  <si>
    <t>Cốt liệu bê tông - Phương pháp thanh vữa xác định khả năng phản ứng kiềm - silic</t>
  </si>
  <si>
    <t>62.TCXD 247 : 2001</t>
  </si>
  <si>
    <t>(ISO 3443-1:1979)</t>
  </si>
  <si>
    <t>Dung sai trong xây dựng - Nguyên tắc cơ bản để đánh giá và yêu cầu riêng</t>
  </si>
  <si>
    <t>TCVN 9259-1:2012</t>
  </si>
  <si>
    <t>Dung sai trong xây dựng công trình - Nguyên tắc cơ bản để đánh giá và yêu cầu kỹ thuật</t>
  </si>
  <si>
    <t>63.TCXD 251 : 2001</t>
  </si>
  <si>
    <t>Bản vẽ xây dựng - Cách thể hiện độ sai lệch giới hạn</t>
  </si>
  <si>
    <t>TCVN 9260 : 2012</t>
  </si>
  <si>
    <t>(ISO 6284:1996)</t>
  </si>
  <si>
    <t>64.TCXD 252 : 2001</t>
  </si>
  <si>
    <t>Xây dựng công trình - Dung sai - Cách thể hiện chính xác kích thước - Nguyên tắc và thuật ngữ</t>
  </si>
  <si>
    <t>TCVN 9261:2012</t>
  </si>
  <si>
    <t>(ISO 1803:1997)</t>
  </si>
  <si>
    <t>Xây dựng công trình - Dung sai - Cách thể hiện độ chính xác kích thước – Nguyên tắc và thuật ngữ</t>
  </si>
  <si>
    <t>65.TCXD 254 : 2001</t>
  </si>
  <si>
    <t>Công trình bê tông cốt thép toàn khối xây dựng bằng cốp pha trượt - Hướng dẫn thi công và nghiệm thu</t>
  </si>
  <si>
    <t>TCVN 9342:2012</t>
  </si>
  <si>
    <t>Công trình bê tông cốt thép toàn khối xây dựng bằng cốp pha trượt - Thi công và nghiệm thu</t>
  </si>
  <si>
    <t>66.TCXD 258 : 2001</t>
  </si>
  <si>
    <t>Hỗn hợp vữa xi măng không co - Yêu cầu kỹ thuật và Phương pháp thử</t>
  </si>
  <si>
    <t>TCVN 9204:2012</t>
  </si>
  <si>
    <t>Vữa xi măng khô trộn sẵn không co</t>
  </si>
  <si>
    <t>67.TCXDVN 262 : 2001</t>
  </si>
  <si>
    <t>Bê tông nặng - Phương pháp xác định hàm lượng clorua trong cốt liệu bê tông</t>
  </si>
  <si>
    <t>TCVN 7572-15:2006</t>
  </si>
  <si>
    <t>Cốt liệu cho bê tông và vữa – Phương pháp thử - Phần 15: Xác định hàm lượng clorua</t>
  </si>
  <si>
    <t>68.TCXDVN 80 : 2002</t>
  </si>
  <si>
    <t>Đất xây dựng - Phương pháp xác định mô đun biến dạng tại hiện trường bằng tấm nén phẳng</t>
  </si>
  <si>
    <t>TCVN 9354:2012</t>
  </si>
  <si>
    <t>Đất xây dựng - Phương phápxác định mô đun biến dạng tại hiện trường bằng tấm nén phẳng</t>
  </si>
  <si>
    <t>69.TCXDVN 167 : 2002</t>
  </si>
  <si>
    <t>Xi măng để sản xuất tấm sóng Amiăng xi măng</t>
  </si>
  <si>
    <t>TCVN 2682:2009</t>
  </si>
  <si>
    <t>Xi măng pooc lăng – Yêu cầu kỹ thuật</t>
  </si>
  <si>
    <t>70.TCXDVN 263 : 2002</t>
  </si>
  <si>
    <t>Lắp đặt cáp và dây điện cho các công trình công nghiệp</t>
  </si>
  <si>
    <t>TCVN 9208:2012</t>
  </si>
  <si>
    <t>71.TCXDVN 267 : 2002</t>
  </si>
  <si>
    <t>Lưới thép hàn dùng trong kết cấu bê tông cốt thép - Tiêu chuẩn thiết kế, thi công lắp đặt và nghiệm thu</t>
  </si>
  <si>
    <t>TCVN 9391:2012</t>
  </si>
  <si>
    <t>72.TCXDVN 269 : 2002</t>
  </si>
  <si>
    <t>Cọc - Phương pháp thí nghiệm bằng tải trọng tĩnh ép dọc trục</t>
  </si>
  <si>
    <t>TCVN 9393:2012</t>
  </si>
  <si>
    <t>Cọc - Phương pháp thử nghiệm tại hiện trường bằng tải trọng tĩnh ép dọc trục</t>
  </si>
  <si>
    <t>73.TCXDVN 270 : 2002</t>
  </si>
  <si>
    <t>Khảo sát đánh giá tình trạng nhà và công trình xây gạch đá</t>
  </si>
  <si>
    <t>TCVN 9378:2012</t>
  </si>
  <si>
    <t>74.TCXD 271 : 2002</t>
  </si>
  <si>
    <t>Quy trình kỹ thuật xác định độ lún công trình dân dụng và công nghiệp bằng Phương pháp đo cao hình học</t>
  </si>
  <si>
    <t>TCVN 9360:2012</t>
  </si>
  <si>
    <t>75.TCXDVN 272 : 2002</t>
  </si>
  <si>
    <t>Ống nhựa gân xoắn HDPE</t>
  </si>
  <si>
    <t>TCVN 9070:2012</t>
  </si>
  <si>
    <t>76.TCXDVN 273 : 2002</t>
  </si>
  <si>
    <t>Tiêu chuẩn cấp bậc công nhân kỹ thuật</t>
  </si>
  <si>
    <t>Hủy do không phù hợp với đối tượng tiêu chuẩn</t>
  </si>
  <si>
    <t>77.TCXDVN 274 : 2002</t>
  </si>
  <si>
    <t>Cấu kiện bê tông và bê tông cốt thép đúc sẵn - Phương pháp thí nghiệm gia tải để đánh giá độ bền, độ cứng và khả năng chống nứt</t>
  </si>
  <si>
    <t>TCVN 9347:2012</t>
  </si>
  <si>
    <t>78.TCXDVN 275 : 2002</t>
  </si>
  <si>
    <t>Trường trung cấp chuyên nghiệp - Tiêu chuẩn thiết kế</t>
  </si>
  <si>
    <t>TCVN 4602:2012</t>
  </si>
  <si>
    <t>79.TCXDVN 283 : 2002</t>
  </si>
  <si>
    <t>Tiêu chuẩn Amiăng Crizotin để sản xuất tấm sóng amiăng xi măng</t>
  </si>
  <si>
    <t>TCVN 9188:2012</t>
  </si>
  <si>
    <t>Amiăng Crizôtin để sản xuất tấm sóng amiăng xi măng</t>
  </si>
  <si>
    <t>80.TCXDVN 284 : 2002</t>
  </si>
  <si>
    <t>Định lượng các khoáng cơ bản trong clanhke xi măng poóc lăng bằng nhiễm xạ tia X - Phương pháp chuẩn</t>
  </si>
  <si>
    <t>TCVN 9189:2012</t>
  </si>
  <si>
    <t>Định lượng các khoáng cơ bản trong clanhke xi măng pooc lăng bằng nhiễu xạ tia X theo phương pháp chuẩn</t>
  </si>
  <si>
    <t>81.TCXDVN 290 : 2002</t>
  </si>
  <si>
    <t>Băng chắn nước dùng trong mối nối công trình xây dựng - Yêu cầu sử dụng.</t>
  </si>
  <si>
    <t>TCVN 9384:2012</t>
  </si>
  <si>
    <t>82.TCXDVN 291: 2002</t>
  </si>
  <si>
    <t>Nguyên liệu để sản xuất thuỷ tinh xây dựng - Đá vôi dạng cục và dạng bột mịn</t>
  </si>
  <si>
    <t>TCVN 9039:2011</t>
  </si>
  <si>
    <t>Nguyên liệu để sản xuất thủy tinh xây dựng – Đá vôi</t>
  </si>
  <si>
    <t>83.TCXDVN 292 : 2002</t>
  </si>
  <si>
    <t>Vật liệu cacbua silic - Phương pháp phân tích hoá học</t>
  </si>
  <si>
    <t>TCVN 9190:2011</t>
  </si>
  <si>
    <t>84.TCXDVN 60 : 2003</t>
  </si>
  <si>
    <t>Trường dạy nghề - Tiêu chuẩn thiết kế</t>
  </si>
  <si>
    <t>TCVN 9210:2012</t>
  </si>
  <si>
    <t>85.TCXD 174 : 2003</t>
  </si>
  <si>
    <t>Đất xây dựng – Phương pháp thí nghiệm xuyên tĩnh</t>
  </si>
  <si>
    <t>TCVN 9352:2012</t>
  </si>
  <si>
    <t>86.TCXDVN 286 : 2003</t>
  </si>
  <si>
    <t>Đóng và ép cọc - Tiêu chuẩn thi công và nghiệm thu</t>
  </si>
  <si>
    <t>TCVN 9394:2012</t>
  </si>
  <si>
    <t>Đóng và ép cọc - Thi công và nghiệm thu</t>
  </si>
  <si>
    <t>87.TCXDVN 293 : 2003</t>
  </si>
  <si>
    <t>Chống nóng cho nhà ở - Chỉ dẫn thiết kế</t>
  </si>
  <si>
    <t>TCVN 9258 : 2012</t>
  </si>
  <si>
    <t>88.TCXDVN 294 : 2003</t>
  </si>
  <si>
    <t>Bê tông cốt thép - Phương pháp điện thế kiểm tra khả năng cốt thép bị ăn mòn</t>
  </si>
  <si>
    <t>TCVN 9348:2012</t>
  </si>
  <si>
    <t>89.TCXDVN 295 : 2003</t>
  </si>
  <si>
    <t>Vật liệu chịu lửa - Gạch kiềm tính Manedi Spinel và manhedi crôm dùng cho lò quay</t>
  </si>
  <si>
    <t>TCVN 9032:2011</t>
  </si>
  <si>
    <t>Vật liệu chịu lửa - Gạch kiềm tính Manhêdi Spinel và manhêdi crôm dùng cho lò quay</t>
  </si>
  <si>
    <t>90.TCXDVN 301: 2003</t>
  </si>
  <si>
    <t>Đất xây dựng – Phương pháp thí nghiệm tại hiện trường- xác định độ ẩm và độ chặt của đất - Phương pháp phóng xạ</t>
  </si>
  <si>
    <t>TCVN 9350:2012</t>
  </si>
  <si>
    <t>Đất xây dựng - Phương phápphóng xạ xác định độ ẩm và độ chặt của đất tại hiện trường</t>
  </si>
  <si>
    <t>91.TCXDVN 307 : 2003</t>
  </si>
  <si>
    <t>Bê tông nặng- Phương pháp xác định hàm lượng xi măng trong bê tông đã đóng rắn</t>
  </si>
  <si>
    <t>92.TCXDVN 308 : 2003</t>
  </si>
  <si>
    <t>Xi măng poóc lăng hỗn hợp - Phương pháp xác định hàm lượng phụ gia khoáng</t>
  </si>
  <si>
    <t>TCVN 9203:2012</t>
  </si>
  <si>
    <t>Xi măng Pooc lăng hỗn hợp – Phương pháp xác định hàm lượng phụ gia khoáng</t>
  </si>
  <si>
    <t>93.TCXDVN 162 : 2004</t>
  </si>
  <si>
    <t>Bê tông nặng - Phương pháp xác định cường độ nén bằng súng bật nẩy</t>
  </si>
  <si>
    <t>TCVN 9334:2012</t>
  </si>
  <si>
    <t>94.TCXDVN 281 : 2004</t>
  </si>
  <si>
    <t>Nhà văn hoá thể thao - Nguyên tắc cơ bản để thiết kế</t>
  </si>
  <si>
    <t>TCVN 9365 : 2012</t>
  </si>
  <si>
    <t>95.TCXDVN 287 : 2004</t>
  </si>
  <si>
    <t>Công trình thể thao - Sân thể thao - Tiêu chuẩn thiết kế</t>
  </si>
  <si>
    <t>TCVN 4205 :2012</t>
  </si>
  <si>
    <t>96.TCXDVN 288 : 2004</t>
  </si>
  <si>
    <t>Công trình thể thao - Bể bơi - Tiêu chuẩn thiết kế</t>
  </si>
  <si>
    <t>TCVN 4260 : 2012</t>
  </si>
  <si>
    <t>97.TCXDVN 289 : 2004</t>
  </si>
  <si>
    <t>Công trình thể thao - Nhà thể thao - Tiêu chuẩn thiết kế</t>
  </si>
  <si>
    <t>TCVN 4529 : 2012</t>
  </si>
  <si>
    <t>98.TCXDVN 302:2004</t>
  </si>
  <si>
    <t>Nước trộn bê tông và vữa - Yêu cầu kỹ thuật</t>
  </si>
  <si>
    <t>TCVN 4506 :2012</t>
  </si>
  <si>
    <t>99. TCXDVN 303 : 2004</t>
  </si>
  <si>
    <t>Công tác hoàn thiện trong xây dựng - Thi công và nghiệm thu</t>
  </si>
  <si>
    <t>Phần 1 : Công tác lát và láng trong xây dựng</t>
  </si>
  <si>
    <t>TCVN 9377-1:2012</t>
  </si>
  <si>
    <t>100. TCXDVN 309 : 2004</t>
  </si>
  <si>
    <t>Công tác trắc địa trong xây dựng công trình - Yêu cầu chung</t>
  </si>
  <si>
    <t>TCVN 9398:2012</t>
  </si>
  <si>
    <t>101. TCXDVN 310 : 2004</t>
  </si>
  <si>
    <t>Vật liệu lọc dạng hạt dùng trong hệ thống xử lý nước sạch - Yêu cầu kỹ thuật</t>
  </si>
  <si>
    <t>TCVN 9068:2012</t>
  </si>
  <si>
    <t>Vật liệu lọc dạng hạt dùng trong xử lý nước sạch - Yêu cầu kỹ thuật</t>
  </si>
  <si>
    <t>TCVN 9069:2012</t>
  </si>
  <si>
    <t>Vật liệu lọc dạng hạt dùng trong xử lý nước sạch - Phương pháp thử</t>
  </si>
  <si>
    <t>102. TCXDVN 311: 2004</t>
  </si>
  <si>
    <t>Phụ gia khoáng hoạt tính cao dùng cho bê tông và vữa Silicafume và tro trầu nghiền mịn</t>
  </si>
  <si>
    <t>TCVN 8827:2011</t>
  </si>
  <si>
    <t>103. TCXDVN 312 : 2004</t>
  </si>
  <si>
    <t>Đá vôi - Phương pháp phân tích hoá học</t>
  </si>
  <si>
    <t>TCVN 9191:2012</t>
  </si>
  <si>
    <t>104. TCXDVN 313 : 2004</t>
  </si>
  <si>
    <t>Kết cấu bê tông và bê tông cốt thép - Hướng dẫn kỹ thuật phòng chống nứt dưới tác động của khí hậu nóng ẩm</t>
  </si>
  <si>
    <t>TCVN 9345:2012</t>
  </si>
  <si>
    <t>105. TCXDVN 314 : 2005</t>
  </si>
  <si>
    <t>Hàn kim loại- Thuật ngữ và định nghĩa</t>
  </si>
  <si>
    <t>TCVN 5017-1:2010 (ISO 857-1:1998)</t>
  </si>
  <si>
    <t>Hàn và các quá trình liên quan - Từ vựng - Phần 1: Các quá trình hàn kim loại</t>
  </si>
  <si>
    <t>TCVN 5017-2:2010 (ISO 857-2:1998) </t>
  </si>
  <si>
    <t>Hàn và các quá trình liên quan - Từ vựng - Phần 2: Các quá trình hàn vẩy mềm, hàn vảy cứng và các thuật ngữ liên quan</t>
  </si>
  <si>
    <t>106. TCXDVN 316 : 2004</t>
  </si>
  <si>
    <t>Blốc bê tông nhẹ - Yêu cầu kỹ thuật</t>
  </si>
  <si>
    <t>TCVN 9029:2011</t>
  </si>
  <si>
    <t>Bê tông nhẹ - Gạch bê tông bọt, khí không chưng áp – Yêu cầu kỹ thuật</t>
  </si>
  <si>
    <t>107. TCXDVN 317 : 2004</t>
  </si>
  <si>
    <t>Blốc bê tông nhẹ - Phương pháp thử</t>
  </si>
  <si>
    <t>TCVN 9030:2011</t>
  </si>
  <si>
    <t>Bê tông nhẹ - Gạch bê tông bọt, khí không chưng áp – Phương pháp thử</t>
  </si>
  <si>
    <t>108. TCXDVN 318 : 2004</t>
  </si>
  <si>
    <t>Kết cấu bê tông và bê tông cốt thép - Hướng dẫn công tác bảo trì</t>
  </si>
  <si>
    <t>TCVN 9343:2012</t>
  </si>
  <si>
    <t>109. TCXDVN 319 : 2004</t>
  </si>
  <si>
    <t>Lắp đặt hệ thống nối đất thiết bị cho các công trình công nghiệp - Yêu cầu chung</t>
  </si>
  <si>
    <t>TCVN 9358:2012</t>
  </si>
  <si>
    <t>110. TCXDVN 321: 2004</t>
  </si>
  <si>
    <t>Sơn xây dựng - Phân loại</t>
  </si>
  <si>
    <t>TCVN 9404:2012</t>
  </si>
  <si>
    <t>111. TCXDVN 322 : 2004</t>
  </si>
  <si>
    <t>Chỉ dẫn kỹ thuật chọn thành phần bê tông sử dụng cát nghiền</t>
  </si>
  <si>
    <t>TCVN 9382:2012</t>
  </si>
  <si>
    <t>Chọn thành phần bê tông sử dụng cát nghiền</t>
  </si>
  <si>
    <t>112. TCXDVN 323 : 2004</t>
  </si>
  <si>
    <t>Nhà ở cao tầng - Tiêu chuẩn thiết kế</t>
  </si>
  <si>
    <t>113. TCXDVN 324 : 2004</t>
  </si>
  <si>
    <t>Xi măng xây trát</t>
  </si>
  <si>
    <t>TCVN 9202:2012</t>
  </si>
  <si>
    <t>114. TCXDVN 325:2004</t>
  </si>
  <si>
    <t>Phụ gia hoá học cho bê tông</t>
  </si>
  <si>
    <t>TCVN 8826:2011</t>
  </si>
  <si>
    <t>115. TCXDVN 326 : 2004</t>
  </si>
  <si>
    <t>Cọc khoan nhồi - Thi công và nghiệm thu</t>
  </si>
  <si>
    <t>TCVN 9395:2012</t>
  </si>
  <si>
    <t>116. TCXDVN 327 : 2004</t>
  </si>
  <si>
    <t>Kết cấu bê tông và bê tông cốt thép - Yêu cầu bảo vệ chống ăn mòn trong môi trường biển</t>
  </si>
  <si>
    <t>TCVN 9346:2012</t>
  </si>
  <si>
    <t>117. TCXDVN 328 : 2004</t>
  </si>
  <si>
    <t>Tấm trải chống thấm trên cơ sở bi tum biến tính</t>
  </si>
  <si>
    <t>TCVN 9066:2012</t>
  </si>
  <si>
    <t>Tấm trải chống thấm trên cơ sở bi tum biến tính – Yêu cầu kỹ thuật</t>
  </si>
  <si>
    <t>TCVN 9067-1:2012</t>
  </si>
  <si>
    <t>Tấm trải chống thấm trên cơ sở bi tum biến tính – Phần 1: Phương pháp thử - Xác định tải trọng kéo đứt và độ giãn dài khi đứt</t>
  </si>
  <si>
    <t>TCVN 9067-2:2012</t>
  </si>
  <si>
    <t>Tấm trải chống thấm trên cơ sở bi tum biến tính – Phần 2: Phương pháp thử - Xác định độ bền chọc thủng</t>
  </si>
  <si>
    <t>TCVN 9067-3:2012</t>
  </si>
  <si>
    <t>Tấm trải chống thấm trên cơ sở bi tum biến tính – Phần 3: Phương pháp thử - Xác định độ bền nhiệt</t>
  </si>
  <si>
    <t>TCVN 9067-4:2012</t>
  </si>
  <si>
    <t>Tấm trải chống thấm trên cơ sở bi tum biến tính – Phần 4: Phương pháp thử - Xác định độ thấm nước dưới áp lực thủy tĩnh</t>
  </si>
  <si>
    <t>118. TCXDVN 329 : 2004</t>
  </si>
  <si>
    <t>Bê tông và vữa xây dựng - Phương pháp xác định PH</t>
  </si>
  <si>
    <t>TCVN 9339:2012</t>
  </si>
  <si>
    <t>119. TCXDVN 332 : 2004</t>
  </si>
  <si>
    <t>Vật liệu chịu lửa - Ký hiệu các đại lượng và đơn vị</t>
  </si>
  <si>
    <t>TCVN 9031:2011</t>
  </si>
  <si>
    <t>Vật liệu chịu lửa – Ký hiệu các đại lượng và đơn vị</t>
  </si>
  <si>
    <t>120. TCXDVN 334 : 2005</t>
  </si>
  <si>
    <t>Quy phạm sơn thiết bị và kết cấu thép trong xây dựng dân dụng và công nghiệp</t>
  </si>
  <si>
    <t>Sử dụng tiêu chuẩn</t>
  </si>
  <si>
    <t>TCVN 8790:2011</t>
  </si>
  <si>
    <t>Sơn bảo vệ kết cấu thép – Qui trình thi công và nghiệm thu</t>
  </si>
  <si>
    <t>121. TCXDVN 337 : 2005</t>
  </si>
  <si>
    <t>Vữa và bê tông chịu axít</t>
  </si>
  <si>
    <t>TCVN 9034:2011</t>
  </si>
  <si>
    <t>122. TCXDVN 338 : 2005</t>
  </si>
  <si>
    <t>Kết cấu thép - Tiêu chuẩn thiết kế</t>
  </si>
  <si>
    <t>TCVN 5575 : 2012</t>
  </si>
  <si>
    <t>123. TCXDVN 339 : 2005</t>
  </si>
  <si>
    <t>Tiêu chuẩn tính năng trong toà nhà - Định nghĩa, phương pháp tính các chỉ số diện tích và không gian</t>
  </si>
  <si>
    <t>TCVN 9255 : 2012</t>
  </si>
  <si>
    <t>(ISO 9836:2011)</t>
  </si>
  <si>
    <t>Tiêu chuẩn tính năng trong toà nhà - Định nghĩa, phương pháp tính các chỉ số diện tích và không gian (ISO 9836 : 2011)</t>
  </si>
  <si>
    <t>124. TCXDVN 340 : 2005</t>
  </si>
  <si>
    <t>Lập hồ sơ kỹ thuật - Từ vựng</t>
  </si>
  <si>
    <t>Phần 1: Thuật ngữ liên quan đến bản vẽ kỹ thuật - Thuật ngữ chung và các dạng bản vẽ</t>
  </si>
  <si>
    <t>TCVN 9256 : 2012</t>
  </si>
  <si>
    <t>Lập hồ sơ kỹ thuật - Từ vựng - Thuật ngữ liên quan đến bản vẽ kỹ thuật - Thuật ngữ chung và các dạng bản vẽ</t>
  </si>
  <si>
    <t>125. TCXDVN 341: 2005</t>
  </si>
  <si>
    <t>Sơn tường - Sơn nhũ tương - Phương pháp xác định độ bền nhiệt ẩm của màng sơn</t>
  </si>
  <si>
    <t>TCVN 9405:2012</t>
  </si>
  <si>
    <t>Sơn tường dạng nhũ tương - Phương pháp xác định độ bền nhiệt ẩm của màng sơn</t>
  </si>
  <si>
    <t>126. TCXDVN 342 : 2005</t>
  </si>
  <si>
    <t>Thử nghiệm chịu lửa - Các bộ phận kết cấu của toà nhà </t>
  </si>
  <si>
    <t>Phần 1 : Yêu cầu chung</t>
  </si>
  <si>
    <t>TCVN 9311-1 : 2012</t>
  </si>
  <si>
    <t>(ISO 834-1:1999)</t>
  </si>
  <si>
    <t>Thử nghiệm chịu lửa - Các bộ phận công trình xây dựng - Phần 1 : Yêu cầu chung</t>
  </si>
  <si>
    <t>127. TCXDVN 343 : 2005</t>
  </si>
  <si>
    <t>Phần 3: Chỉ dẫn về phương pháp thử và áp dụng số liệu thử nghiệm</t>
  </si>
  <si>
    <t>TCVN 9311-3 : 2012</t>
  </si>
  <si>
    <t>(ISO/TR 834-3:1994)</t>
  </si>
  <si>
    <t>Thử nghiệm chịu lửa - Các bộ phận công trình xây dựng</t>
  </si>
  <si>
    <t>- Phần 3: Chỉ dẫn về phương pháp thử và áp dụng số liệu thử nghiệm</t>
  </si>
  <si>
    <t>128. TCXDVN 344 : 2005</t>
  </si>
  <si>
    <t>Phần 4: Các yêu cầu riêng đối với bộ phận ngăn cách đứng chịu tải</t>
  </si>
  <si>
    <t>TCVN 9311-4 : 2012</t>
  </si>
  <si>
    <t>(ISO 834-4:2000)</t>
  </si>
  <si>
    <t>- Phần 4: Các yêu cầu riêng đối với bộ phận ngăn cách đứng chịu tải</t>
  </si>
  <si>
    <t>129. TCXDVN 345 : 2005</t>
  </si>
  <si>
    <t>Phần 5 : Các yêu cầu riêng đối với bộ phận ngăn cách nằm ngang chịu tải</t>
  </si>
  <si>
    <t>TCVN 9311-5 : 2012</t>
  </si>
  <si>
    <t>(ISO 834-5:2000)</t>
  </si>
  <si>
    <t>- Phần 5: Các yêu cầu riêng đối với bộ phận ngăn cách nằm ngang chịu tải</t>
  </si>
  <si>
    <t>130. TCXDVN 346 : 2005</t>
  </si>
  <si>
    <t>Phần 6 : Các yêu cầu riêng đối với dầm</t>
  </si>
  <si>
    <t>TCVN 9311-6 : 2012</t>
  </si>
  <si>
    <t>(ISO 834-6: 2000)</t>
  </si>
  <si>
    <t>- Phần 6 : Các yêu cầu riêng đối với dầm</t>
  </si>
  <si>
    <t>131. TCXDVN 347 : 2005</t>
  </si>
  <si>
    <t>- Phần 7 : Các yêu cầu riêng đối với cột</t>
  </si>
  <si>
    <t>TCVN 9311-7 : 2012</t>
  </si>
  <si>
    <t>(ISO 834-7:2000)</t>
  </si>
  <si>
    <t>Thử nghiệm chịu lửa - Các bộ phận công trình xây dựng </t>
  </si>
  <si>
    <t>132. TCXDVN 348 : 2005</t>
  </si>
  <si>
    <t>Phần 8 : Các yêu cầu riêng đối với bộ phận ngăn cách đứng không chịu tải</t>
  </si>
  <si>
    <t>TCVN 9311-8 : 2012</t>
  </si>
  <si>
    <t>(ISO 834-8:2000)</t>
  </si>
  <si>
    <t>- Phần 8 : Các yêu cầu riêng đối với bộ phận ngăn cách đứng không chịu tải</t>
  </si>
  <si>
    <t>133. TCXDVN 349 : 2005</t>
  </si>
  <si>
    <t>Cát nghiền cho bê tông và vữa</t>
  </si>
  <si>
    <t>TCVN 9205:2012</t>
  </si>
  <si>
    <t>134. TCXDVN 350 : 2005</t>
  </si>
  <si>
    <t>Gạch chịu lửa cho lò quay - Kích thước cơ bản</t>
  </si>
  <si>
    <t>TCVN 9033:2011</t>
  </si>
  <si>
    <t>135. TCXDVN 351: 2005</t>
  </si>
  <si>
    <t>Quy trình kỹ thuật quan trắc chuyển dịch ngang nhà và công trình</t>
  </si>
  <si>
    <t>TCVN 9399:2012</t>
  </si>
  <si>
    <t>Nhà và công trình xây dựng – Xác định chuyển dịch ngang bằng phương pháp trắc địa</t>
  </si>
  <si>
    <t>136. TCXDVN 352 : 2005</t>
  </si>
  <si>
    <t>Sơn - Phương pháp không phá huỷ xác định chiều dày vùng sơn khô</t>
  </si>
  <si>
    <t>TCVN 9406:2012</t>
  </si>
  <si>
    <t>Sơn - Phương pháp không phá huỷ xác định chiều dày màng sơn khô</t>
  </si>
  <si>
    <t>137. TCXDVN 353 : 2005</t>
  </si>
  <si>
    <t>Nhà ở liên kế - Tiêu chuẩn thiết kế</t>
  </si>
  <si>
    <t>TCVN 9411 : 2012</t>
  </si>
  <si>
    <t>Nhà ở liên kế- Tiêu chuẩn thiết kế</t>
  </si>
  <si>
    <t>138. TCXDVN 354 : 2005</t>
  </si>
  <si>
    <t>Bê tông nặng - Phương pháp xác định hàm lượng sun phát trong bê tông</t>
  </si>
  <si>
    <t>TCVN 9336:2012</t>
  </si>
  <si>
    <t>Bê tông nặng – Phương pháp xác định hàm lượng sunfat</t>
  </si>
  <si>
    <t>139. TCXDVN 355 : 2005</t>
  </si>
  <si>
    <t>Tiêu chuẩn thiết kế nhà hát phòng khán giả - Yêu cầu kỹ thuật</t>
  </si>
  <si>
    <t>TCVN 9369 : 2012</t>
  </si>
  <si>
    <t>Nhà hát - Tiêu chuẩn thiết kế</t>
  </si>
  <si>
    <t>140. TCXDVN 356 : 2005</t>
  </si>
  <si>
    <t>Kết cấu bê tông và bê tông cốt thép - Tiêu chuẩn thiết kế</t>
  </si>
  <si>
    <t>TCVN 5574 : 2012</t>
  </si>
  <si>
    <t>141. TCXDVN 357 : 2005</t>
  </si>
  <si>
    <t>Nhà và công trình dạng tháp - Quy trình quan trắc độ nghiêng bằngphương pháp trắc địa</t>
  </si>
  <si>
    <t>TCVN 9400:2012</t>
  </si>
  <si>
    <t>Nhà và công trình dạng tháp – Xác định độ nghiêng bằngphương pháp trắc địa</t>
  </si>
  <si>
    <t>142. TCXDVN 358 : 2005</t>
  </si>
  <si>
    <t>Cọc khoan nhồi - Phương pháp xung siêu âm xác định tính đồng nhất của bê tông</t>
  </si>
  <si>
    <t>TCVN 9396:2012</t>
  </si>
  <si>
    <t>Cọc khoan nhồi - Xác định tính đồng nhất của bê tông - Phương pháp xung siêu âm</t>
  </si>
  <si>
    <t>143. TCXDVN 359:2005</t>
  </si>
  <si>
    <t>Cọc - Thí nghiệm kiểm tra khuyết tật bằng phương pháp động biến dạng nhỏ</t>
  </si>
  <si>
    <t>TCVN 9397:2012</t>
  </si>
  <si>
    <t>Cọc - Kiểm tra khuyết tật bằng phương pháp động biến dạng nhỏ</t>
  </si>
  <si>
    <t>144. TCXDVN 360 : 2005</t>
  </si>
  <si>
    <t>Bê tông nặng - Xác định độ thấm ion clo bằng phương pháp đo điện lượng</t>
  </si>
  <si>
    <t>TCVN 9337:2012</t>
  </si>
  <si>
    <t>Bê tông nặng – Xác định độ thấm ion clo bằng phương pháp đo điện lượng</t>
  </si>
  <si>
    <t>145. TCXDVN 194 : 2006</t>
  </si>
  <si>
    <t>Nhà cao tầng - Công tác khảo sát địa kỹ thuật</t>
  </si>
  <si>
    <t>TCVN 9363:2012</t>
  </si>
  <si>
    <t>Khảo sát cho xây dựng – Khảo sát địa kỹ thuật cho nhà cao tầng</t>
  </si>
  <si>
    <t>146. TCXDVN 303 : 2006</t>
  </si>
  <si>
    <t>Phần 2: Công tác trát trong xây dựng</t>
  </si>
  <si>
    <t>Phần 3: Công tác ốp trong xây dựng</t>
  </si>
  <si>
    <t>Công tác hoàn thiện trong xây dựng – Thi công và nghiệm thu – Phần 2: Công tác trát trong xây dựng</t>
  </si>
  <si>
    <t>TCVN 9377-3:2012</t>
  </si>
  <si>
    <t>Công tác hoàn thiện trong xây dựng – Thi công và nghiệm thu – Phần 3: Công tác ốp trong xây dựng</t>
  </si>
  <si>
    <t>147. TCXDVN 361: 2006</t>
  </si>
  <si>
    <t>Chợ - Tiêu chuẩn thiết kế </t>
  </si>
  <si>
    <t>TCVN 9211 : 2012</t>
  </si>
  <si>
    <t>Chợ- Tiêu chuẩn thiết kế </t>
  </si>
  <si>
    <t>148. TCXDVN 362 : 2006</t>
  </si>
  <si>
    <t>Quy hoạch cây xanh sử dụng công cộng trong các đô thị - Tiêu chuẩn thiết kế</t>
  </si>
  <si>
    <t>TCVN 9257 : 2012</t>
  </si>
  <si>
    <t>Quy hoạch cây xanh sử dụng công cộng trong các đô thị – Tiêu chuẩn thiết kế</t>
  </si>
  <si>
    <t>149. TCXDVN 363 : 2006</t>
  </si>
  <si>
    <t>Kết cấu bê tông cốt thép - Đánh giá độ bền của các bộ phận kết cấu chịu uốn trên công trình bằng phương pháp thí nghiệm chất tải tĩnh</t>
  </si>
  <si>
    <t>TCVN 9344 : 2012</t>
  </si>
  <si>
    <t>150. TCXDVN 364 : 2006</t>
  </si>
  <si>
    <t>Kỹ thuật đo và xử lý số liệu GPS trong trắc địa công trình</t>
  </si>
  <si>
    <t>TCVN 9401:2012</t>
  </si>
  <si>
    <t>151. TCXDVN 366 : 2006</t>
  </si>
  <si>
    <t>Chỉ dẫn kỹ thuật công tác địa chất công trình cho xây dựng trong vùng Kast</t>
  </si>
  <si>
    <t>TCVN 9402:2012</t>
  </si>
  <si>
    <t>Hướng dẫn kỹ thuật công tác địa chất công trình cho xây dựng trong vùng các - tơ</t>
  </si>
  <si>
    <t>152. TCXDVN 367 : 2006</t>
  </si>
  <si>
    <t>Vật liệu chống thấm trong xây dựng - Phân loại</t>
  </si>
  <si>
    <t>153. TCXDVN 368 : 2006</t>
  </si>
  <si>
    <t>Vật liệu chống thấm - Sơn nhũ tương bi tum polime</t>
  </si>
  <si>
    <t>TCVN 9065 : 2012</t>
  </si>
  <si>
    <t>Vật liệu chống thấm - Sơn nhũ tương bi tum</t>
  </si>
  <si>
    <t>154. TCXDVN 371 : 2006</t>
  </si>
  <si>
    <t>Nghiệm thu chất lượng thi công công trình xây dựng</t>
  </si>
  <si>
    <t>Hủy do không phù hợp đối tượng tiêu chuẩn theo quy định tại Luật Tiêu chuẩn quy chuẩn kỹ thuật</t>
  </si>
  <si>
    <t>155. TCXDVN 372 : 2006</t>
  </si>
  <si>
    <t>Ống bê tông cốt thép thoát nước</t>
  </si>
  <si>
    <t>TCVN 9113 : 2012</t>
  </si>
  <si>
    <t>156. TCXDVN 373 : 2006</t>
  </si>
  <si>
    <t>Chỉ dẫn đánh giá mức độ nguy hiểm của kết cấu nhà</t>
  </si>
  <si>
    <t>TCVN 9381 : 2012</t>
  </si>
  <si>
    <t>Hướng dẫn đánh giá mức độ nguy hiểm của kết cấu nhà</t>
  </si>
  <si>
    <t>157. TCXDVN 374 : 2006</t>
  </si>
  <si>
    <t>Hỗn hợp bê tông trộn sẵn - Các yêu cầu cơ bản đánh giá chất lượng và nghiệm thu</t>
  </si>
  <si>
    <t>TCVN 9340:2012</t>
  </si>
  <si>
    <t>Hỗn hợp bê tông trộn sẵn – Yêu cầu cơ bản đánh giá chất lượng và nghiệm thu</t>
  </si>
  <si>
    <t>158. TCXDVN 375 : 2006</t>
  </si>
  <si>
    <t>Thiết kế công trình chịu động đất</t>
  </si>
  <si>
    <t>Phần 1: Quy định chung, tác động động đất và quy định đối với kết cấu nhà</t>
  </si>
  <si>
    <t>Phần 2: Nền móng, tường chắc và các vấn đề địa kỹ thuật</t>
  </si>
  <si>
    <t>TCVN 9386-1 : 2012</t>
  </si>
  <si>
    <t>Thiết kế công trình chịu động đất – Phần 1: Quy định chung, tác động động đất và quy định với kết cấu nhà</t>
  </si>
  <si>
    <t>TCVN 9386-2 : 2012</t>
  </si>
  <si>
    <t>Thiết kế công trình chịu động đất – Phần 2: Nền móng, tường chắn và các vấn đề địa kỹ thuật</t>
  </si>
  <si>
    <t>159. TCXDVN 376 : 2006</t>
  </si>
  <si>
    <t>Hỗn hợp bê tông nặng - Phương pháp xác định thời gian đông kết</t>
  </si>
  <si>
    <t>TCVN 9338:2012</t>
  </si>
  <si>
    <t>Hỗn hợp bê tông nặng – Phương pháp xác định thời gian đông kết</t>
  </si>
  <si>
    <t>160. TCXDVN 385: 2006</t>
  </si>
  <si>
    <t>Gia cố đất nền yếu bằng trụ đất xi măng</t>
  </si>
  <si>
    <t>TCVN 9403:2012</t>
  </si>
  <si>
    <t>Gia cố đất nền yếu – Phương pháp trụ đất xi măng</t>
  </si>
  <si>
    <t>161. TCXDVN 46 : 2007</t>
  </si>
  <si>
    <t>Chống sét cho công trình xây dựng - Hướng dẫn thiết kế, kiểm tra và bảo trì hệ thống</t>
  </si>
  <si>
    <t>TCVN 9385:2012</t>
  </si>
  <si>
    <t>Chống sét cho công trình xây dựng – Hướng dẫn thiết kế, kiểm tra và bảo trì hệ thống</t>
  </si>
  <si>
    <t>162. TCXDVN 386 : 2007</t>
  </si>
  <si>
    <t>Thử nghiệm khả năng chịu lửa. Cửa đi và cửa ngăn cháy</t>
  </si>
  <si>
    <t>TCVN 9383:2012</t>
  </si>
  <si>
    <t>Thử nghiệm khả năng chịu lửa - Cửa đi và cửa ngăn cháy</t>
  </si>
  <si>
    <t>163. TCXDVN 388 : 2007</t>
  </si>
  <si>
    <t>Sơn - Phương pháp xác định độ cứng của màng phủ bằng thiết bị con lắc</t>
  </si>
  <si>
    <t>TCVN 2098:2007</t>
  </si>
  <si>
    <t>(ISO 1522:2006)</t>
  </si>
  <si>
    <t>Sơn và vecni – Phép thử dao động tắt dần của con lắc</t>
  </si>
  <si>
    <t>164. TCXDVN 389 : 2007</t>
  </si>
  <si>
    <t>Sản phẩm bê tông ứng lực trước - Yêu cầu kỹ thuật và nghiệm thu</t>
  </si>
  <si>
    <t>TCVN 9114:2012</t>
  </si>
  <si>
    <t>Sản phẩm bê tông ứng lực trước - Yêu cầu kỹ thuật và kiểm tra chấp nhận</t>
  </si>
  <si>
    <t>165. TCXDVN 390 : 2007</t>
  </si>
  <si>
    <t>Kết cấu bê tông và bê tông cốt thép lắp ghép - Quy phạm thi công và nghiệm thu</t>
  </si>
  <si>
    <t>TCVN 9115:2012</t>
  </si>
  <si>
    <t>Kết cấu bê tông và bê tông cốt thép lắp ghép - Thi công và nghiệm thu</t>
  </si>
  <si>
    <t>166. TCXDVN 391 : 2007</t>
  </si>
  <si>
    <t>Bê tông - Yêu cầu bảo dưỡng ẩm tự nhiên</t>
  </si>
  <si>
    <t>TCVN 8828:2011</t>
  </si>
  <si>
    <t>167. TCXDVN 392 : 2007</t>
  </si>
  <si>
    <t>Cống hộp bê tông cốt thép đúc sẵn - Yêu cầu kỹ thuật và phương pháp thử</t>
  </si>
  <si>
    <t>TCVN 9116:2012</t>
  </si>
  <si>
    <t>Cống hộp bê tông cốt thép</t>
  </si>
  <si>
    <t>168. TCXDVN 394 : 2007</t>
  </si>
  <si>
    <t>Thiết kế lắp đặt trang thiết bị điện trong các công trình xây dựng - Phần an toàn điện</t>
  </si>
  <si>
    <t>TCVN 7447 (gồm 14 TCVN)</t>
  </si>
  <si>
    <t>Hệ thống lắp đặt điện hạ áp</t>
  </si>
  <si>
    <t>169. TCXDVN 395 : 2007</t>
  </si>
  <si>
    <t>Phụ gia khoáng cho bê tông đầm lăn</t>
  </si>
  <si>
    <t>TCVN 8825:2011</t>
  </si>
  <si>
    <t>`</t>
  </si>
  <si>
    <t>Bê tông</t>
  </si>
  <si>
    <t>TCXDVN 305:2004</t>
  </si>
  <si>
    <t>Bêtông khối lớn - Quy phạm thi công và nghiệm thu</t>
  </si>
  <si>
    <t>TCVN 4453:1995</t>
  </si>
  <si>
    <t>Kết cấu bêtông và bêtông cốt thép toàn khối - Quy phạm thi công và nghiệm thu</t>
  </si>
  <si>
    <t>TCVN 5592:1991</t>
  </si>
  <si>
    <t>Bêtông nặng - Yêu cầu dưõng ẩm tự nhiên</t>
  </si>
  <si>
    <t>TCVN 4452:1987</t>
  </si>
  <si>
    <t>Kết cấu bêtông và bêtông cốt thép lắp ghép - Quy phạm thi công và nghiệm thu</t>
  </si>
  <si>
    <t>TCXDVN 170:1989</t>
  </si>
  <si>
    <t>Kết cấu thép - Gia công,lắp ráp và nghiệm thu.Yêu cầu kĩ thuật</t>
  </si>
  <si>
    <t>Đất</t>
  </si>
  <si>
    <t>TCVN 4447:1987</t>
  </si>
  <si>
    <t>Công tác đất - Quy phạm thi công và nghiệm thu</t>
  </si>
  <si>
    <t>TCXDVN 79:1980</t>
  </si>
  <si>
    <t> TCVN 4085:1985</t>
  </si>
  <si>
    <t>TCXDVN 296:2004</t>
  </si>
  <si>
    <t>Dàn giáo - Các yêu cầu về an toàn</t>
  </si>
  <si>
    <t>TCVN 6052:1995</t>
  </si>
  <si>
    <t>Giàn giáo thép</t>
  </si>
  <si>
    <t>KÝ HIỆU</t>
  </si>
  <si>
    <t>TCVN</t>
  </si>
  <si>
    <t>TCQT</t>
  </si>
  <si>
    <t>Cường độ của đất - lấy mẫu</t>
  </si>
  <si>
    <t>TCVN 7593-1:2006</t>
  </si>
  <si>
    <t>Độ chặt của đất tại hiện trường - Pp phễu rót cát</t>
  </si>
  <si>
    <t>22 TCN346-06</t>
  </si>
  <si>
    <t>AASHTO T191-02(2006)</t>
  </si>
  <si>
    <t>Chất lượng đất. Lấy mẫu. Hướng dẫn lấy mẫu, bảo quản và đánh giá trong phòng TN</t>
  </si>
  <si>
    <t>TCVN 5960-95</t>
  </si>
  <si>
    <t>Đất xây dựng, giới hạn dẻo và chảy</t>
  </si>
  <si>
    <t>TCVN 4197-95</t>
  </si>
  <si>
    <t>AASHTO T89-02(2006) &amp; AASHTO T90-00(2004)</t>
  </si>
  <si>
    <t>Đất xây dựng, Phân tích cỡ hạt</t>
  </si>
  <si>
    <t>TCVN 4198-95</t>
  </si>
  <si>
    <t>AASHTO T88-00(2004)</t>
  </si>
  <si>
    <t>Xác định sự trương nở của đất</t>
  </si>
  <si>
    <t>AASHTO T258-81(2004) hoặc ASTM D4546-2003</t>
  </si>
  <si>
    <t>Vật liệu đắp nền đường và lớp nền thượng</t>
  </si>
  <si>
    <t>AASHTO M57-80(2004)</t>
  </si>
  <si>
    <t>Sức chịu tải CBR</t>
  </si>
  <si>
    <t>22 TCN 332-06</t>
  </si>
  <si>
    <t>AASHTO T193-99(2007)</t>
  </si>
  <si>
    <t>Đầm nén đất và vật liệu cấp phối trong phòng TN</t>
  </si>
  <si>
    <t>22 TCN 333-06</t>
  </si>
  <si>
    <t>Vữa XD - Pp thử</t>
  </si>
  <si>
    <t>TCVN 3121-2003</t>
  </si>
  <si>
    <t>Vữa XD - YCKT</t>
  </si>
  <si>
    <t>TCVN 4314-2003</t>
  </si>
  <si>
    <t>Xi măng Pooc lăng bền sun phát - YCKT</t>
  </si>
  <si>
    <t>TCVN 6067:2006</t>
  </si>
  <si>
    <t>Xi măng Pooc lăng - YCKT</t>
  </si>
  <si>
    <t>Xi măng Pooc lăng hỗn hợp - YCKT</t>
  </si>
  <si>
    <t>TCVN 6260 : 2009</t>
  </si>
  <si>
    <t>Xi măng, pp xác định độ mịn</t>
  </si>
  <si>
    <t>TCVN 4030-2003</t>
  </si>
  <si>
    <t>Cốt liệu cho bê tông và vữa - yckt</t>
  </si>
  <si>
    <t>TCVN 7572-2 : 06</t>
  </si>
  <si>
    <t>AASHTO T27-06ASTM C33-07 &amp; AASHTO M6-08 &amp; AASHTO M80-08</t>
  </si>
  <si>
    <t>Đúc và bảo quản mẫu bê tông trong phòng tn</t>
  </si>
  <si>
    <t>AASHTO T126-99</t>
  </si>
  <si>
    <t>Đúc và bảo quản mẫu bê tông ngoài hiện trường</t>
  </si>
  <si>
    <t>AASHTO T23-08 hoặc ASTM C31M-08a</t>
  </si>
  <si>
    <t>Hỗ hợp bê tông nặng và bê tông nặng - Lấy mẫu, chế tạo và bảo dưỡng mẫu thử</t>
  </si>
  <si>
    <t>TCVN 3015 : 1993</t>
  </si>
  <si>
    <t>Nước cho bê tông và vữa</t>
  </si>
  <si>
    <t>TCXDVN 302-2004</t>
  </si>
  <si>
    <t>Phụ gia bê tông</t>
  </si>
  <si>
    <t>TCVN 6882-2001</t>
  </si>
  <si>
    <t>Thép cốt bê tông</t>
  </si>
  <si>
    <t>Thép các bon dùng trong xd. Tiêu chuẩn kỹ thuật</t>
  </si>
  <si>
    <t>TCVN 5709-1993</t>
  </si>
  <si>
    <t>Sản phẩm thép và sắt mạ kẽm</t>
  </si>
  <si>
    <t>AASHTO M111-04</t>
  </si>
  <si>
    <t>Gạch xây - pp thử</t>
  </si>
  <si>
    <t>Từ TCVN 246-1986 đến TCVN 250-1986</t>
  </si>
  <si>
    <t>Gạch rỗng đất sét nung</t>
  </si>
  <si>
    <t>TCVN 1450-1986</t>
  </si>
  <si>
    <t>Gạch đặc đất sét nung</t>
  </si>
  <si>
    <t>TCVN 1451-1986</t>
  </si>
  <si>
    <t>Công tác đất - Tiêu chuẩn thi công và nghiệm thu</t>
  </si>
  <si>
    <t>TCVN 4447-1987</t>
  </si>
  <si>
    <t>TCXD 79 : 1980</t>
  </si>
  <si>
    <t>Cầu và cống- Tiêu chuẩn thi công và nghiệm thu</t>
  </si>
  <si>
    <t>22TCN 266-2000</t>
  </si>
  <si>
    <t>Yêu cầu kỹ thuật chế tạo và nghiệm thu dầm cầu thép trong công xưởng</t>
  </si>
  <si>
    <t>22TCN288-02</t>
  </si>
  <si>
    <t>Kết cấu bê tông đúc sẵn và bê tông cốt thép. Quy định thi công và nghiệm thu</t>
  </si>
  <si>
    <t>TCXDVN 390-2007</t>
  </si>
  <si>
    <t>BTCT, chỉ dẫn chống nứt</t>
  </si>
  <si>
    <t>Bê tông. Kiểm soát cường độ và đánh giá. Các yêu cầu chung</t>
  </si>
  <si>
    <t>TCVN 5440-91</t>
  </si>
  <si>
    <t>TCXDVN 372-2006</t>
  </si>
  <si>
    <t>Ống bê tông cốt thép - yckt</t>
  </si>
  <si>
    <t>22TCN 159-86</t>
  </si>
  <si>
    <t>Quy trình kỹ thuật cho thi công nền đường làm bằng vật liệu tự nhiên</t>
  </si>
  <si>
    <t>22 TCN 304:03</t>
  </si>
  <si>
    <t>Kết cấu gạch đá. Quy định thi công và nghiệm thu</t>
  </si>
  <si>
    <t>TCVN 4085-85</t>
  </si>
  <si>
    <t>Kết cấu thép - Quy phạm thi công và nghiệm thu</t>
  </si>
  <si>
    <t>TCXD 170:1989</t>
  </si>
  <si>
    <t>Hàn. Thí nghiệm uốn không phá hoại</t>
  </si>
  <si>
    <t>TCVN 5401:91</t>
  </si>
  <si>
    <t>Nghiệm thu chất lượng xây dựng</t>
  </si>
  <si>
    <t>TCVN 371:2006</t>
  </si>
  <si>
    <t>Dàn giáo thép</t>
  </si>
  <si>
    <t>TCVN 6052-95; TCXDVN 296-2004</t>
  </si>
  <si>
    <t>Sơn - nghiệm thu xây dựng</t>
  </si>
  <si>
    <t>TCVN 2090:2007</t>
  </si>
  <si>
    <t>Quy phạm sơn thiết bị và kết cấu thép trong XDDD và Công nghiệp.</t>
  </si>
  <si>
    <t>TCXDVN 334:2005</t>
  </si>
  <si>
    <t>Hệ thống cấp thoát nước bên trong nhà và công trình. Quy phạm thi công và nghiệm thu</t>
  </si>
  <si>
    <t>TCVN 4519:1988</t>
  </si>
  <si>
    <t>Công tác hoàn thiện trong xây dựng. Thi công và nghiệm thu. Phần 1 Công tác láng và lát</t>
  </si>
  <si>
    <t>TCXDVN 303:2004</t>
  </si>
  <si>
    <t>Công tác hoàn thiện trong xây dựng. Thi công và nghiệm thu. Phần 2 Công tác ốp và trát</t>
  </si>
  <si>
    <t>TCXDVN 303:2006</t>
  </si>
  <si>
    <t>Công tác hoàn thiện trong xây dựng -Thi công và nghiệm thu</t>
  </si>
  <si>
    <t>TCVN 5674:1992</t>
  </si>
  <si>
    <t>Chống sét cho các công trình xây dựng. Tiêu chuẩn thiết kế -thi công</t>
  </si>
  <si>
    <t>TCXD 46:1984</t>
  </si>
  <si>
    <t>Quy trình lập thiết kế tổ chức xây dựng và thiết kế thi công. Quy phạm thi công và nghiệm thu</t>
  </si>
  <si>
    <t>TCVN 4252:1988</t>
  </si>
  <si>
    <t>Công tác trắc địa trong xây dựng</t>
  </si>
  <si>
    <t>TCXDVN 309:2004</t>
  </si>
  <si>
    <t>Vải phản quang trong điều khiển giao thông</t>
  </si>
  <si>
    <t>AASHTO M268-08; ASTM D4956-07e; ASTM E810-03(2008)</t>
  </si>
  <si>
    <t>Tiêu chuẩn tiếp nối đất và điểm O cho thiết bị điện</t>
  </si>
  <si>
    <t>TCVN 4756:1989</t>
  </si>
  <si>
    <t>Và các tiêu chuẩn khác liên quan</t>
  </si>
  <si>
    <t>Các văn bản quy định về quản lý chất lượng thi công</t>
  </si>
  <si>
    <t>Luật xây dựng</t>
  </si>
  <si>
    <t>Số 16/2003/QH11</t>
  </si>
  <si>
    <t>Nghị định Quản lý chất lượng công trình xây dựng</t>
  </si>
  <si>
    <t>Nghị định 15/2013/NĐ-CP ngày 06/02/2013</t>
  </si>
  <si>
    <t>Nghiệm thu chất lượng thi công công trình xây dựng ban hành kèm theo Quyết định số 41/2006/QĐ-BXD ngày 29/12/2006</t>
  </si>
  <si>
    <t>TCXDVN 371 : 2006</t>
  </si>
  <si>
    <t>Quản lý chất lượng xây lắp công trình xây dựng - Nguyên tắc cơ bản</t>
  </si>
  <si>
    <t>TCVN 5637 : 1991</t>
  </si>
  <si>
    <t>Và các văn bản khác có liên quan</t>
  </si>
  <si>
    <t>Tiêu chuẩn thi công nghiệm thu và thí nghiệm vật liệu</t>
  </si>
  <si>
    <t>THỜI GIAN
PYC</t>
  </si>
  <si>
    <t>YCNT bình đồ hiện trạng khu TĐC Pom Chốn</t>
  </si>
  <si>
    <t>YCNT Phòng thí nghiệm hiện trường</t>
  </si>
  <si>
    <t>01</t>
  </si>
  <si>
    <t>02</t>
  </si>
  <si>
    <t>03</t>
  </si>
  <si>
    <t>YCNT Địa chất khu San nền Pom Chốn và Pa Púa</t>
  </si>
  <si>
    <t>04</t>
  </si>
  <si>
    <t>YCNT lấy mẫu Thép các loại - Thép Shengli</t>
  </si>
  <si>
    <t>YCNT lấy mẫu Xi măng</t>
  </si>
  <si>
    <t>YCNT lấy mẫu Đá các loại</t>
  </si>
  <si>
    <t>YCNT lấy mẫu Cát các loại</t>
  </si>
  <si>
    <t>05</t>
  </si>
  <si>
    <t>06</t>
  </si>
  <si>
    <t>07</t>
  </si>
  <si>
    <t>YCNT lấy mẫu Đất đồi</t>
  </si>
  <si>
    <t>08</t>
  </si>
  <si>
    <t>09</t>
  </si>
  <si>
    <t>10</t>
  </si>
  <si>
    <t>11</t>
  </si>
  <si>
    <t>12</t>
  </si>
  <si>
    <t>13</t>
  </si>
  <si>
    <t>YCNT Bình đồ hiện trạng khu TĐC Tổ Xước</t>
  </si>
  <si>
    <t>YCNT công tác phát quang khu TĐC Tổ Xước</t>
  </si>
  <si>
    <t>YCNT bình đồ hiện trạng khu TĐC Pa Púa</t>
  </si>
  <si>
    <t>14h00</t>
  </si>
  <si>
    <t>16h00</t>
  </si>
  <si>
    <t>GIỜ YC</t>
  </si>
  <si>
    <t>8h00</t>
  </si>
  <si>
    <t>15h00</t>
  </si>
  <si>
    <t>09h00</t>
  </si>
  <si>
    <t>I</t>
  </si>
  <si>
    <t>A</t>
  </si>
  <si>
    <t>PHIẾU LẤY MẪU BÊ TÔNG</t>
  </si>
  <si>
    <r>
      <t xml:space="preserve">Gói thầu: </t>
    </r>
    <r>
      <rPr>
        <sz val="13"/>
        <color indexed="8"/>
        <rFont val="Times New Roman"/>
        <family val="1"/>
      </rPr>
      <t>W-RE-01</t>
    </r>
    <r>
      <rPr>
        <b/>
        <sz val="13"/>
        <color indexed="8"/>
        <rFont val="Times New Roman"/>
        <family val="1"/>
      </rPr>
      <t xml:space="preserve"> </t>
    </r>
    <r>
      <rPr>
        <sz val="13"/>
        <color indexed="8"/>
        <rFont val="Times New Roman"/>
        <family val="1"/>
      </rPr>
      <t>“Xây dựng khu TĐC số 01”</t>
    </r>
  </si>
  <si>
    <r>
      <t xml:space="preserve">Địa điểm xây dựng: </t>
    </r>
    <r>
      <rPr>
        <sz val="13"/>
        <color indexed="8"/>
        <rFont val="Times New Roman"/>
        <family val="1"/>
      </rPr>
      <t>Xã Trung Sơn, Huyện Quan Hoá, Tỉnh Thanh Hoá</t>
    </r>
  </si>
  <si>
    <r>
      <t xml:space="preserve">Công trình: </t>
    </r>
    <r>
      <rPr>
        <sz val="13"/>
        <color indexed="8"/>
        <rFont val="Times New Roman"/>
        <family val="1"/>
      </rPr>
      <t>Thủy điện Trung Sơn</t>
    </r>
  </si>
  <si>
    <r>
      <t xml:space="preserve">Hạng mục: </t>
    </r>
    <r>
      <rPr>
        <sz val="13"/>
        <color indexed="8"/>
        <rFont val="Times New Roman"/>
        <family val="1"/>
      </rPr>
      <t>Bồi thường, hỗ trợ và tái định cư</t>
    </r>
  </si>
  <si>
    <t>Đối tượng lấy mẫu</t>
  </si>
  <si>
    <t>Vị trí lấy mẫu</t>
  </si>
  <si>
    <t>Mác bê tông thiết kế</t>
  </si>
  <si>
    <t>ĐƠN VỊ THI CÔNG</t>
  </si>
  <si>
    <t>ĐƠN VỊ THÍ NGHIỆM</t>
  </si>
  <si>
    <t>KIỂM TRA CỦA
CHỦ ĐẦU TƯ</t>
  </si>
  <si>
    <t>VỊ TRÍ</t>
  </si>
  <si>
    <t>TƯ VẤN GIÁM SÁT</t>
  </si>
  <si>
    <t>Lê Văn Thái</t>
  </si>
  <si>
    <t>TT</t>
  </si>
  <si>
    <t>Chủng loại vật liệu</t>
  </si>
  <si>
    <t>Số lượng</t>
  </si>
  <si>
    <t>Qui cách mẫu</t>
  </si>
  <si>
    <t>Đá 4x6</t>
  </si>
  <si>
    <t>Kho bãi tại công trường</t>
  </si>
  <si>
    <t>Xi măng Tam điệp PCB40</t>
  </si>
  <si>
    <t>Cát đổ bê tông</t>
  </si>
  <si>
    <t>Nội dung</t>
  </si>
  <si>
    <t>Lấy mẫu vật liệu đổ bê tông lót móng</t>
  </si>
  <si>
    <t>Lấy mẫu vật liệu đổ bê tông móng cột</t>
  </si>
  <si>
    <t>Đá 1x2</t>
  </si>
  <si>
    <t>Thép</t>
  </si>
  <si>
    <t>Lấy mẫu vật liệu đổ bê tông cột</t>
  </si>
  <si>
    <t>Lấy mẫu vật liệu đổ bê tông dầm</t>
  </si>
  <si>
    <t>Lấy mẫu vật liệu đổ bê tông sàn</t>
  </si>
  <si>
    <t>Bê tông móng cột</t>
  </si>
  <si>
    <t>Bê tông lót móng</t>
  </si>
  <si>
    <t>1/NVH100-PC/NTCV</t>
  </si>
  <si>
    <t>1/NVH100-PC/NTVK</t>
  </si>
  <si>
    <t>1/NVH100-PC/CBBT</t>
  </si>
  <si>
    <t>1/NVH100-PC/LMBT</t>
  </si>
  <si>
    <t>2/NVH100-PC/NTVK</t>
  </si>
  <si>
    <t>2/NVH100-PC/CBBT</t>
  </si>
  <si>
    <t>2/NVH100-PC/LMBT</t>
  </si>
  <si>
    <t>Lô nhà văn hóa, điểm tái định cư Pom Chốn</t>
  </si>
  <si>
    <t>NGÀY NGHIỆM THU CÔNG VIỆC</t>
  </si>
  <si>
    <t>DANH MỤC BIÊN BẢN NGHIỆM THU</t>
  </si>
  <si>
    <t>1.     TCXD 44:1970</t>
  </si>
  <si>
    <t>2.     TCXD 45:1978</t>
  </si>
  <si>
    <t>3.     TCXD 79:1980</t>
  </si>
  <si>
    <t>4.     TCXD 128 : 1985</t>
  </si>
  <si>
    <t>5.     TCXD 129 : 1985</t>
  </si>
  <si>
    <t>6.     TCXD 130 : 1985</t>
  </si>
  <si>
    <t>7.     TCXD 131 : 1985</t>
  </si>
  <si>
    <t>8.     TCXD 132 : 1985</t>
  </si>
  <si>
    <t>9.     TCXD 133 : 1985</t>
  </si>
  <si>
    <r>
      <t>Cát sử dụng trong công nghiệp thuỷ tinh - Phương pháp xác định hàm lượng silic đioxyt (SiO</t>
    </r>
    <r>
      <rPr>
        <vertAlign val="subscript"/>
        <sz val="12"/>
        <color indexed="63"/>
        <rFont val="Times New Roman"/>
        <family val="1"/>
      </rPr>
      <t>2</t>
    </r>
    <r>
      <rPr>
        <sz val="12"/>
        <color indexed="63"/>
        <rFont val="Times New Roman"/>
        <family val="1"/>
      </rPr>
      <t>)</t>
    </r>
  </si>
  <si>
    <r>
      <t>Cát sử dụng trong công nghiệp thuỷ tinh - Phương pháp xác định hàm lượng sắt oxyt (Fe</t>
    </r>
    <r>
      <rPr>
        <vertAlign val="subscript"/>
        <sz val="12"/>
        <color indexed="63"/>
        <rFont val="Times New Roman"/>
        <family val="1"/>
      </rPr>
      <t>2</t>
    </r>
    <r>
      <rPr>
        <sz val="12"/>
        <color indexed="63"/>
        <rFont val="Times New Roman"/>
        <family val="1"/>
      </rPr>
      <t>O</t>
    </r>
    <r>
      <rPr>
        <vertAlign val="subscript"/>
        <sz val="12"/>
        <color indexed="63"/>
        <rFont val="Times New Roman"/>
        <family val="1"/>
      </rPr>
      <t>3</t>
    </r>
    <r>
      <rPr>
        <sz val="12"/>
        <color indexed="63"/>
        <rFont val="Times New Roman"/>
        <family val="1"/>
      </rPr>
      <t>)</t>
    </r>
  </si>
  <si>
    <r>
      <t>Cát sử dụng trong công nghiệp thuỷ tinh - Phương pháp xác định hàm lượng nhôm oxyt (Al</t>
    </r>
    <r>
      <rPr>
        <vertAlign val="subscript"/>
        <sz val="12"/>
        <color indexed="63"/>
        <rFont val="Times New Roman"/>
        <family val="1"/>
      </rPr>
      <t>2</t>
    </r>
    <r>
      <rPr>
        <sz val="12"/>
        <color indexed="63"/>
        <rFont val="Times New Roman"/>
        <family val="1"/>
      </rPr>
      <t>O</t>
    </r>
    <r>
      <rPr>
        <vertAlign val="subscript"/>
        <sz val="12"/>
        <color indexed="63"/>
        <rFont val="Times New Roman"/>
        <family val="1"/>
      </rPr>
      <t>3</t>
    </r>
    <r>
      <rPr>
        <sz val="12"/>
        <color indexed="63"/>
        <rFont val="Times New Roman"/>
        <family val="1"/>
      </rPr>
      <t>)</t>
    </r>
  </si>
  <si>
    <r>
      <t>Cát sử dụng trong công nghiệp thuỷ tinh - Phương pháp xác định hàm lượng titan oxyt (TiO</t>
    </r>
    <r>
      <rPr>
        <vertAlign val="subscript"/>
        <sz val="12"/>
        <color indexed="63"/>
        <rFont val="Times New Roman"/>
        <family val="1"/>
      </rPr>
      <t>2</t>
    </r>
    <r>
      <rPr>
        <sz val="12"/>
        <color indexed="63"/>
        <rFont val="Times New Roman"/>
        <family val="1"/>
      </rPr>
      <t>)</t>
    </r>
  </si>
  <si>
    <t>C</t>
  </si>
  <si>
    <t> TCVN 4453:1995</t>
  </si>
  <si>
    <t>TCVN 5639:1991 </t>
  </si>
  <si>
    <t> TCXD 184:1997</t>
  </si>
  <si>
    <t> TCVN 4055:1985</t>
  </si>
  <si>
    <t> TCVN 4087:1985</t>
  </si>
  <si>
    <t> TCVN 4252:1988</t>
  </si>
  <si>
    <t> TCVN 4419:1987</t>
  </si>
  <si>
    <r>
      <t> </t>
    </r>
    <r>
      <rPr>
        <sz val="10"/>
        <rFont val="Arial"/>
        <family val="2"/>
      </rPr>
      <t>TCVN 4085:1985</t>
    </r>
  </si>
  <si>
    <r>
      <t> </t>
    </r>
    <r>
      <rPr>
        <sz val="10"/>
        <rFont val="Arial"/>
        <family val="2"/>
      </rPr>
      <t>TCVN 4452:1987</t>
    </r>
  </si>
  <si>
    <r>
      <t> </t>
    </r>
    <r>
      <rPr>
        <sz val="10"/>
        <rFont val="Arial"/>
        <family val="2"/>
      </rPr>
      <t>TCVN 4519:1988</t>
    </r>
  </si>
  <si>
    <r>
      <t> </t>
    </r>
    <r>
      <rPr>
        <sz val="10"/>
        <rFont val="Arial"/>
        <family val="2"/>
      </rPr>
      <t>TCVN 5637:1991</t>
    </r>
  </si>
  <si>
    <r>
      <t> </t>
    </r>
    <r>
      <rPr>
        <sz val="10"/>
        <rFont val="Arial"/>
        <family val="2"/>
      </rPr>
      <t>TCVN 5640:1991</t>
    </r>
  </si>
  <si>
    <r>
      <t> </t>
    </r>
    <r>
      <rPr>
        <sz val="10"/>
        <rFont val="Arial"/>
        <family val="2"/>
      </rPr>
      <t>TCVN 5641:1991</t>
    </r>
  </si>
  <si>
    <r>
      <t> </t>
    </r>
    <r>
      <rPr>
        <sz val="10"/>
        <rFont val="Arial"/>
        <family val="2"/>
      </rPr>
      <t>TCVN 5674:1992</t>
    </r>
  </si>
  <si>
    <r>
      <t> </t>
    </r>
    <r>
      <rPr>
        <sz val="10"/>
        <rFont val="Arial"/>
        <family val="2"/>
      </rPr>
      <t>TCVN 5718:1993</t>
    </r>
  </si>
  <si>
    <r>
      <t> </t>
    </r>
    <r>
      <rPr>
        <sz val="10"/>
        <rFont val="Arial"/>
        <family val="2"/>
      </rPr>
      <t>TCVN 3972:1985</t>
    </r>
  </si>
  <si>
    <t>Nội dung công việc</t>
  </si>
  <si>
    <t>Vị trí</t>
  </si>
  <si>
    <t>Điểm TĐC</t>
  </si>
  <si>
    <t>1-Số hiệu NTNB</t>
  </si>
  <si>
    <t>2-Giờ PYC</t>
  </si>
  <si>
    <t>2-Ngày PYC</t>
  </si>
  <si>
    <t>2-Tháng PYC</t>
  </si>
  <si>
    <t>3-Giờ Nội Bộ start</t>
  </si>
  <si>
    <t>3-Giờ Nội Bộ end</t>
  </si>
  <si>
    <t>3-Ngày Nội Bộ</t>
  </si>
  <si>
    <t>3-Tháng Nội Bộ</t>
  </si>
  <si>
    <t>3-Ngày/tháng NTNB</t>
  </si>
  <si>
    <t>4-Gờ Công Việc start</t>
  </si>
  <si>
    <t>4-Giờ Công Việc end</t>
  </si>
  <si>
    <t>4-Ngày Công Việc</t>
  </si>
  <si>
    <t>4-Tháng Công Việc</t>
  </si>
  <si>
    <t>SỐ HIỆU BBNT NỘI BỘ</t>
  </si>
  <si>
    <t>NGÀY NGHIỆM THU NỘI BỘ</t>
  </si>
  <si>
    <t>PYC nghiệm thu vật liệu trước khi đổ bê tông lót móng</t>
  </si>
  <si>
    <t>BBNT Vật liệu trước khi đổ bê tông lót móng</t>
  </si>
  <si>
    <t>PYC Nghiệm thu ván khuôn bê tông lót móng</t>
  </si>
  <si>
    <t>BBNT Ván khuôn bê tông lót móng</t>
  </si>
  <si>
    <t>PYC theo dõi quá trình đổ bê tông lót móng</t>
  </si>
  <si>
    <t>Phiếu giám sát quá trình đổ bê tông lót móng</t>
  </si>
  <si>
    <t>PYC nghiệm thu công tác chuẩn bị đổ bê tông lót móng</t>
  </si>
  <si>
    <t>Mục công trình : Nhà văn hóa 100m2</t>
  </si>
  <si>
    <t>BBNT công tác chuẩn bị đổ bê tông lót móng</t>
  </si>
  <si>
    <t>PYC Lấy mẫu bê tông lót móng</t>
  </si>
  <si>
    <t>Biên bản lấy mẫu bê tông lót móng M100</t>
  </si>
  <si>
    <t>PYC Nghiệm thu bê tông lót móng</t>
  </si>
  <si>
    <t>PYC theo dõi công tác nén mẫu bê tông lót móng M100, R7</t>
  </si>
  <si>
    <t>Kết quả nén mẫu bê tông lót móng M100, R7</t>
  </si>
  <si>
    <t>BBNT Bê tông lót móng</t>
  </si>
  <si>
    <t>1/NVH100-PC/NTNB</t>
  </si>
  <si>
    <t>SỐ HIỆU BIÊN BẢN</t>
  </si>
  <si>
    <t>NGÀY THÁNG</t>
  </si>
  <si>
    <t>1/NVH100-PC/LMHT</t>
  </si>
  <si>
    <t>1/NVH100-PC/TDBT</t>
  </si>
  <si>
    <t>01-EP/NVH100-PC/M100</t>
  </si>
  <si>
    <t>1/NVH100-PC/BT/PYC</t>
  </si>
  <si>
    <t>2/NVH100-PC/LMHT</t>
  </si>
  <si>
    <t>2/NVH100-PC/TDBT</t>
  </si>
  <si>
    <t>2/NVH100-PC/R7/PYC</t>
  </si>
  <si>
    <t>PYC nghiệm thu vật liệu trước khi đổ bê tông móng cột</t>
  </si>
  <si>
    <t>PYC Nghiệm thu ván khuôn bê tông móng cột</t>
  </si>
  <si>
    <t>BBNT Ván khuôn bê tông móng cột</t>
  </si>
  <si>
    <t>PYC nghiệm thu công tác chuẩn bị đổ bê tông móng cột</t>
  </si>
  <si>
    <t>PYC theo dõi quá trình đổ bê tông móng cột</t>
  </si>
  <si>
    <t>Phiếu giám sát quá trình đổ bê tông móng cột</t>
  </si>
  <si>
    <t>Biên bản lấy mẫu bê tông móng cột M200</t>
  </si>
  <si>
    <t>PYC Lấy mẫu bê tông móng cột M200</t>
  </si>
  <si>
    <t>PYC Nghiệm thu cốt thép bê tông móng cột</t>
  </si>
  <si>
    <t>BBNT cốt thép bê tông móng cột</t>
  </si>
  <si>
    <t>2/NVH100-PC/NTCT</t>
  </si>
  <si>
    <r>
      <rPr>
        <b/>
        <sz val="12"/>
        <rFont val="Times New Roman"/>
        <family val="1"/>
      </rPr>
      <t>Công trình:</t>
    </r>
    <r>
      <rPr>
        <sz val="12"/>
        <rFont val="Times New Roman"/>
        <family val="1"/>
      </rPr>
      <t xml:space="preserve"> Thủy điện Trung Sơn</t>
    </r>
  </si>
  <si>
    <r>
      <rPr>
        <b/>
        <sz val="12"/>
        <rFont val="Times New Roman"/>
        <family val="1"/>
      </rPr>
      <t>Hạng mục:</t>
    </r>
    <r>
      <rPr>
        <sz val="12"/>
        <rFont val="Times New Roman"/>
        <family val="1"/>
      </rPr>
      <t xml:space="preserve"> Bồi thường, hỗ trợ và tái định cư</t>
    </r>
  </si>
  <si>
    <r>
      <rPr>
        <b/>
        <sz val="12"/>
        <rFont val="Times New Roman"/>
        <family val="1"/>
      </rPr>
      <t xml:space="preserve">Mục công trình : </t>
    </r>
    <r>
      <rPr>
        <sz val="12"/>
        <rFont val="Times New Roman"/>
        <family val="1"/>
      </rPr>
      <t>Nhà văn hóa 100m2</t>
    </r>
  </si>
  <si>
    <r>
      <rPr>
        <b/>
        <sz val="12"/>
        <rFont val="Times New Roman"/>
        <family val="1"/>
      </rPr>
      <t>Gói thầu:</t>
    </r>
    <r>
      <rPr>
        <sz val="12"/>
        <rFont val="Times New Roman"/>
        <family val="1"/>
      </rPr>
      <t xml:space="preserve"> W-RE-01 “Xây dựng khu TĐC số 01”</t>
    </r>
  </si>
  <si>
    <r>
      <rPr>
        <b/>
        <sz val="12"/>
        <rFont val="Times New Roman"/>
        <family val="1"/>
      </rPr>
      <t>Địa điểm xây dựng:</t>
    </r>
    <r>
      <rPr>
        <sz val="12"/>
        <rFont val="Times New Roman"/>
        <family val="1"/>
      </rPr>
      <t xml:space="preserve"> Huyện Quan Hoá, Tỉnh Thanh Hoá</t>
    </r>
  </si>
  <si>
    <t>1/VL/PYC</t>
  </si>
  <si>
    <t>1/VK/PYC</t>
  </si>
  <si>
    <t>1/CBBT/PYC</t>
  </si>
  <si>
    <t>1/TDBT/PYC</t>
  </si>
  <si>
    <t>1/LM/PYC</t>
  </si>
  <si>
    <t>1/EP/PYC</t>
  </si>
  <si>
    <t>1/BT/PYC</t>
  </si>
  <si>
    <t>2/LM/PYC</t>
  </si>
  <si>
    <t>2/CT/PYC</t>
  </si>
  <si>
    <t>2/VK/PYC</t>
  </si>
  <si>
    <t>2/CBBT/PYC</t>
  </si>
  <si>
    <t>2/TDBT/PYC</t>
  </si>
  <si>
    <t>B</t>
  </si>
  <si>
    <t>MH</t>
  </si>
  <si>
    <t>PHẦN TIÊU CHUẨN PHỤC VỤ CHO THI CÔNG CẦU CỐNG</t>
  </si>
  <si>
    <t>- Quy thi công và nghiệm thu cầu cống (QĐ166)</t>
  </si>
  <si>
    <t>- Cống tròn BTCT lắp ghép 22 TCN 159 – 86</t>
  </si>
  <si>
    <t>- Cầu và cống Quy phạm thi công và nghiệm thu 22TCN 266 – 2000.</t>
  </si>
  <si>
    <t>- Quy phạm kỹ thuật an toàn trong xây dựng: TCVN 5038 –1991</t>
  </si>
  <si>
    <t>- Kết cấu gạch đá – Quy phạm thi công và nghiệm thu TCVN 4085 – 1985</t>
  </si>
  <si>
    <t>- KCBT và BTCT toàn khối + Quy phạm thi công và nghiệm thu TCVN 4453 – 1995</t>
  </si>
  <si>
    <t>- Kết  cấu BT và BTCT lắp ghép + Quy trình thi công và nghiệm thu TCVN 4452 – 1987</t>
  </si>
  <si>
    <t xml:space="preserve">- Tiêu chuẩn thi công  –  Nghiệm thu gia công lắp dựng cấu kiện thép TCXD170 –  89 </t>
  </si>
  <si>
    <t>- Quy trình thi công và nghiệm thu dầm cầu bê tông cốt thép dự ứng lực: 22TCN247 – 98</t>
  </si>
  <si>
    <t>- Lan can an toàn. Điều kiện kỹ thuật: TCVN 4431 – 1987</t>
  </si>
  <si>
    <t>- Tiêu chuẩn thi công và nghiệm thu đóng và ép cọc: TCXDVN 326 – 2003</t>
  </si>
  <si>
    <t>- Vữa xây dựng – yêu cầu kỹ thuật: TCXDVN 4314 – 1986</t>
  </si>
  <si>
    <t>- Sơn cầu thép và kết cấu cầu thép TC và NT: 22TCN 253– 98</t>
  </si>
  <si>
    <t>PHẦN TIÊU CHUẨN PHỤC VỤ CHO THI CÔNG ĐƯỜNG</t>
  </si>
  <si>
    <t>- Tổ chức thi công : TCVN 4055 – 1985</t>
  </si>
  <si>
    <t>- Công tác đất – Thi công và nghiệm thu : TCVN 4447 – 87</t>
  </si>
  <si>
    <t>- Quy trình thi công và nghiệm thu nền đường số 1660/QĐ – KT ngày 22/07/1975</t>
  </si>
  <si>
    <t>- Quy trình kiểm tra và nghiệm thu độ chặt nền đất trong nghành GTVT 22TCN 02-71 và QĐ 4313/2001/QĐ – BGTVT.</t>
  </si>
  <si>
    <t>- Quy trình thi công và nghiệm thu mặt đường bê tông nhựa 22TCN 249 – 98 và Quyết định số 3277/2003/QĐ-BGTVT ngày 05/11/2003 của Bộ GTVT</t>
  </si>
  <si>
    <t>- Quy trình kỹ thuật thi công và nghiệm thu mặt đường cấp phối thiên nhiên 22TCN 304 – 03</t>
  </si>
  <si>
    <t>- Quy trình thi công và nghiệm thu lớp cấp phối đá dăm trong kết cấu áo đường ôtô 22TCN 334 – 06 của Bộ Giao thông vận tải.</t>
  </si>
  <si>
    <t xml:space="preserve">- Quy trình kỹ thuật – Thi công và nghiệm thu mặt đường đá dăm nước: 22TCN 06 – 77 </t>
  </si>
  <si>
    <t>- Tiêu chuẩn kỹ thuật – Thi công và NT mặt đường láng nhựa: 22TCN 271–2001</t>
  </si>
  <si>
    <t>- Quyết định tạm thời TC và NT mặt đường BTXM trong công trình giao thông Quyết định số 1951/2012/QĐ–BGTVT ngày 17/08/2012 của Bộ GTVT</t>
  </si>
  <si>
    <t>- Vải địa kỹ thuật TK–TC và NT:22TCN 271–2001</t>
  </si>
  <si>
    <t>- Mặt đường TNN TC và NT:22TCN 248–98</t>
  </si>
  <si>
    <t>- Tiêu chuẩn vật liệu nhựa đường đặc : 22TCN 279 – 01</t>
  </si>
  <si>
    <t>- Điều lệ biển báo đường bộ: 22 TCN 237 – 01</t>
  </si>
  <si>
    <t>- Công tác hoàn thiện trong xây dựng – Thi công và nghiệm thu TCVN 5674- 1992</t>
  </si>
  <si>
    <t>- Bàn giao công trình xây dựng TCVN 5640 – 1991</t>
  </si>
  <si>
    <t>PHẦN TIÊU CHUẨN PHỤC VỤ CHO THI CÔNG THỦY LỢI</t>
  </si>
  <si>
    <t>- Quy phạm kỹ thuật thi công khoan nổ mìn các công trình đất đá –QPTL.D.3.73.</t>
  </si>
  <si>
    <t>- Quy phạm kỹ thuật thi công đập đất theo phương pháp đầm nén – 14TCN20 – 85.</t>
  </si>
  <si>
    <t>- Công trình thuỷ lợi – Kết cấu bê tông cốt thép – Kỹ thuật thi công và nghiệm thu 14TCN 59 – 2002</t>
  </si>
  <si>
    <t>- Công trình thuỷ lợi – xây, lát gạch – yêu cầu kỹ thuật thi công và nghiệm thu 14TCN 120 – 2002f</t>
  </si>
  <si>
    <t>- Công trình thuỷ lợi – xây, lát đá – yêu cầu kỹ thuật thi công và nghiệm thu 14TCN 12– 2002</t>
  </si>
  <si>
    <t>- Công trình thuỷ lợi – quy trình thi công và nghiệm thu khớp nối biến dạng 14TCN 90 – 1995</t>
  </si>
  <si>
    <t>- Các kết quả thí nghiệm vật liệu đầu vào và trong quá trình thi công kèm theo</t>
  </si>
  <si>
    <t>- Các kết quả thí nghiệm vật liệu đầu vào kèm theo</t>
  </si>
  <si>
    <t>- Các kết quả kiểm tra, thí nghiệm chất lượng vật liệu, thiết bị được thực hiện trong quá trình xây dựng kèm theo</t>
  </si>
  <si>
    <t>PHẦN TIÊU CHUẨN PHỤC VỤ CHO THI CÔNG DÂN DỤNG</t>
  </si>
  <si>
    <r>
      <t xml:space="preserve">-  Thi công và nghiệm thu công tác nền móng TCXD 79 – </t>
    </r>
    <r>
      <rPr>
        <sz val="13"/>
        <color indexed="8"/>
        <rFont val="Times New Roman"/>
        <family val="1"/>
      </rPr>
      <t>1980</t>
    </r>
  </si>
  <si>
    <t>-  Sơn cầu thép và kết cấu cầu thép TC và NT: 22TCN 253– 98</t>
  </si>
  <si>
    <t>-  Công tác hoàn thiện trong xây dựng – Thi công và nghiệm thu TCVN 5674- 1992</t>
  </si>
  <si>
    <t>- Gạch ốp lát. Gạch granít. Yêu cầu kỹ thuật TCVN 6883  – 2001</t>
  </si>
  <si>
    <t>- Cửa kim loại – Cửa đi, cửa sổ – Yêu cầu kỹ thuật TCVN 192 –  1996</t>
  </si>
  <si>
    <t>PYC theo dõi công tác nén mẫu bê tông móng cột M200, R7</t>
  </si>
  <si>
    <t>Kết quả nén mẫu bê tông móng cột M200, R7</t>
  </si>
  <si>
    <t>PYC Nghiệm thu bê tông móng cột</t>
  </si>
  <si>
    <t>BBNT Bê tông móng cột</t>
  </si>
  <si>
    <t>Ngày đúc mẫu</t>
  </si>
  <si>
    <t>Số tổ mẫu …….. Tổ</t>
  </si>
  <si>
    <t>Ký hiệu mẫu :…………………………………………………..</t>
  </si>
  <si>
    <t>…….. / …….. / 2014</t>
  </si>
  <si>
    <t>Ngày nén mẫu R7 : …….. / …….. / 2014    ;    Ngày nén mẫu R28 : …….. / …….. / 2014</t>
  </si>
  <si>
    <t>PHIẾU LẤY MẪU VỮA</t>
  </si>
  <si>
    <t>Mác vữa thiết kế</t>
  </si>
  <si>
    <t>SHBB</t>
  </si>
  <si>
    <t>Số hiệu NTCV</t>
  </si>
  <si>
    <t>Số hiệu PYC</t>
  </si>
  <si>
    <t>Ngày/tháng PYC</t>
  </si>
  <si>
    <t>Ngày/tháng NTCV</t>
  </si>
  <si>
    <r>
      <rPr>
        <b/>
        <sz val="13"/>
        <color indexed="8"/>
        <rFont val="Times New Roman"/>
        <family val="1"/>
      </rPr>
      <t>Công trình:</t>
    </r>
    <r>
      <rPr>
        <sz val="13"/>
        <color indexed="8"/>
        <rFont val="Times New Roman"/>
        <family val="1"/>
      </rPr>
      <t xml:space="preserve"> Thủy điện Trung Sơn</t>
    </r>
  </si>
  <si>
    <r>
      <rPr>
        <b/>
        <sz val="13"/>
        <rFont val="Times New Roman"/>
        <family val="1"/>
      </rPr>
      <t>Hạng mục:</t>
    </r>
    <r>
      <rPr>
        <sz val="13"/>
        <rFont val="Times New Roman"/>
        <family val="1"/>
      </rPr>
      <t xml:space="preserve"> Bồi thường, hỗ trợ và tái định cư</t>
    </r>
  </si>
  <si>
    <r>
      <rPr>
        <b/>
        <sz val="13"/>
        <color indexed="8"/>
        <rFont val="Times New Roman"/>
        <family val="1"/>
      </rPr>
      <t>Gói thầu:</t>
    </r>
    <r>
      <rPr>
        <sz val="13"/>
        <color indexed="8"/>
        <rFont val="Times New Roman"/>
        <family val="1"/>
      </rPr>
      <t xml:space="preserve"> W-RE-01 "Xây dựng khu TĐC số 01"</t>
    </r>
  </si>
  <si>
    <r>
      <rPr>
        <b/>
        <sz val="13"/>
        <color indexed="8"/>
        <rFont val="Times New Roman"/>
        <family val="1"/>
      </rPr>
      <t>Địa điểm xây dựng:</t>
    </r>
    <r>
      <rPr>
        <sz val="13"/>
        <color indexed="8"/>
        <rFont val="Times New Roman"/>
        <family val="1"/>
      </rPr>
      <t xml:space="preserve"> Huyện Quan Hoá, Tỉnh Thanh Hoá</t>
    </r>
  </si>
  <si>
    <t>DANH MỤC HỒ SƠ NGHIỆM THU</t>
  </si>
  <si>
    <t>Ngày PYC</t>
  </si>
  <si>
    <t>DATE PYC</t>
  </si>
  <si>
    <t>MONTH PYC</t>
  </si>
  <si>
    <t>DATE NTCV</t>
  </si>
  <si>
    <t>MONTH NTCV</t>
  </si>
  <si>
    <t>Ngày NTCV</t>
  </si>
  <si>
    <t>H-START</t>
  </si>
  <si>
    <t>H-END</t>
  </si>
  <si>
    <t>CĐT</t>
  </si>
  <si>
    <t>ĐVTC</t>
  </si>
  <si>
    <t>Lô nhà văn hóa 100m2</t>
  </si>
  <si>
    <t>điểm TĐC Pom Chốn</t>
  </si>
  <si>
    <t>LIST</t>
  </si>
  <si>
    <t>XI MĂNG</t>
  </si>
  <si>
    <t>CÁT</t>
  </si>
  <si>
    <t>ĐÁ</t>
  </si>
  <si>
    <t>NƯỚC</t>
  </si>
  <si>
    <t>THÉP</t>
  </si>
  <si>
    <t>Shengly</t>
  </si>
  <si>
    <t>vàng bê tông</t>
  </si>
  <si>
    <t>KL BÊ TÔNG TK</t>
  </si>
  <si>
    <t>MÁC BT</t>
  </si>
  <si>
    <t>XI</t>
  </si>
  <si>
    <t>Bê tông mác 200#</t>
  </si>
  <si>
    <t>XI ĐM(kg)</t>
  </si>
  <si>
    <t>CÁT ĐM(m3)</t>
  </si>
  <si>
    <t>ĐÁ ĐM(m3)</t>
  </si>
  <si>
    <t>NƯỚC ĐM(lít)</t>
  </si>
  <si>
    <t>XI NT</t>
  </si>
  <si>
    <t>CÁT NT</t>
  </si>
  <si>
    <t>ĐÁ NT</t>
  </si>
  <si>
    <t>NƯỚC NT</t>
  </si>
  <si>
    <t>THÉP NT</t>
  </si>
  <si>
    <t>vàng</t>
  </si>
  <si>
    <t>BT TK</t>
  </si>
  <si>
    <t>BT TT</t>
  </si>
  <si>
    <t>ĐỘ C</t>
  </si>
  <si>
    <t>ĐVTN</t>
  </si>
  <si>
    <t>Nguyễn Hàm Hiếu</t>
  </si>
  <si>
    <t>MÁC THIẾT KẾ</t>
  </si>
  <si>
    <t>MẪU 1</t>
  </si>
  <si>
    <t>MẪU 2</t>
  </si>
  <si>
    <t>MẪU 3</t>
  </si>
  <si>
    <t>XI TT</t>
  </si>
  <si>
    <t>CÁT TT</t>
  </si>
  <si>
    <t>ĐÁ TT</t>
  </si>
  <si>
    <t>NƯỚC TT</t>
  </si>
  <si>
    <t>THÉP TT</t>
  </si>
  <si>
    <t>KL BÊ TÔNG NT</t>
  </si>
  <si>
    <t>29 độ C</t>
  </si>
  <si>
    <t>BT_TK_NT</t>
  </si>
  <si>
    <t>BT_TT_NT</t>
  </si>
  <si>
    <t>NTCT</t>
  </si>
  <si>
    <t>NTVK</t>
  </si>
  <si>
    <t>CBBT</t>
  </si>
  <si>
    <t>GSBT</t>
  </si>
  <si>
    <t>LMBT</t>
  </si>
  <si>
    <t>NTCV</t>
  </si>
  <si>
    <t>MỤC</t>
  </si>
  <si>
    <t>ĐIỂM TĐC</t>
  </si>
  <si>
    <t>Stt</t>
  </si>
  <si>
    <t>VLĐV</t>
  </si>
  <si>
    <t>KL XÂY NT</t>
  </si>
  <si>
    <t>KL XÂY TT</t>
  </si>
  <si>
    <t>XI (C.PHỐI)</t>
  </si>
  <si>
    <t>CÁT (C.PHỐI)</t>
  </si>
  <si>
    <t>GẠCH *ĐM</t>
  </si>
  <si>
    <t>GẠCH NT</t>
  </si>
  <si>
    <t>GẠCH TT</t>
  </si>
  <si>
    <t>KL VỮA ĐM</t>
  </si>
  <si>
    <t>KL VỮA TT</t>
  </si>
  <si>
    <t>Mác</t>
  </si>
  <si>
    <t>VLXAY2</t>
  </si>
  <si>
    <t>LMXAY2</t>
  </si>
  <si>
    <t>XAY2</t>
  </si>
  <si>
    <t>Bê tông mác 100#</t>
  </si>
  <si>
    <t>CẤP PHỐI BÊ TÔNG</t>
  </si>
  <si>
    <t>CẤP PHỐI VỮA XI MĂNG</t>
  </si>
  <si>
    <t>Xi măng Tam Điệp PCB30</t>
  </si>
  <si>
    <t>MÁC</t>
  </si>
  <si>
    <t>(kg)</t>
  </si>
  <si>
    <t>(m3)</t>
  </si>
  <si>
    <t>(lít)</t>
  </si>
  <si>
    <t>100#</t>
  </si>
  <si>
    <t>50#</t>
  </si>
  <si>
    <t>150#</t>
  </si>
  <si>
    <t>75#</t>
  </si>
  <si>
    <t>200#</t>
  </si>
  <si>
    <t>Xi măng Tam Điệp PCB40</t>
  </si>
  <si>
    <t>Xi măng The Vissai PCB30</t>
  </si>
  <si>
    <t>Xi măng The Vissai PCB40</t>
  </si>
  <si>
    <t>Bê tông mác 150#</t>
  </si>
  <si>
    <t>Bê tông mác 100#.</t>
  </si>
  <si>
    <t>Bê tông mác 150#.</t>
  </si>
  <si>
    <t>Bê tông mác 200#.</t>
  </si>
  <si>
    <t>The Vissai PCB30</t>
  </si>
  <si>
    <t>Giáp Văn Định</t>
  </si>
  <si>
    <t>KIỂM TRA CỦA CHỦ ĐẦU TƯ</t>
  </si>
  <si>
    <t>*MH</t>
  </si>
  <si>
    <t>M50</t>
  </si>
  <si>
    <t>CÔNG TY TNHH MTV</t>
  </si>
  <si>
    <t>CỘNG HOÀ XÃ HỘI CHỦ NGHĨA VIỆT NAM</t>
  </si>
  <si>
    <t>THỦY ĐIỆN TRUNG SƠN</t>
  </si>
  <si>
    <t>Độc lập - Tự do - Hạnh phúc</t>
  </si>
  <si>
    <t xml:space="preserve">BAN QUẢN LÝ DỰ ÁN </t>
  </si>
  <si>
    <t>NGHIỆM THU VẬT TƯ, VẬT LIỆU ĐẦU VÀO</t>
  </si>
  <si>
    <r>
      <t xml:space="preserve">Công trình: </t>
    </r>
    <r>
      <rPr>
        <sz val="13"/>
        <color theme="1"/>
        <rFont val="Times New Roman"/>
        <family val="1"/>
      </rPr>
      <t>Thủy điện Trung Sơn</t>
    </r>
  </si>
  <si>
    <r>
      <t>Hạng mục:</t>
    </r>
    <r>
      <rPr>
        <sz val="13"/>
        <color theme="1"/>
        <rFont val="Times New Roman"/>
        <family val="1"/>
      </rPr>
      <t xml:space="preserve"> Bồi thường, hỗ trợ và tái định cư</t>
    </r>
  </si>
  <si>
    <r>
      <t xml:space="preserve">Gói thầu: </t>
    </r>
    <r>
      <rPr>
        <sz val="13"/>
        <color theme="1"/>
        <rFont val="Times New Roman"/>
        <family val="1"/>
      </rPr>
      <t>W-RE-01</t>
    </r>
    <r>
      <rPr>
        <b/>
        <sz val="13"/>
        <color theme="1"/>
        <rFont val="Times New Roman"/>
        <family val="1"/>
      </rPr>
      <t xml:space="preserve"> </t>
    </r>
    <r>
      <rPr>
        <sz val="13"/>
        <color theme="1"/>
        <rFont val="Times New Roman"/>
        <family val="1"/>
      </rPr>
      <t>“Xây dựng khu TĐC số 01”</t>
    </r>
  </si>
  <si>
    <r>
      <t xml:space="preserve">Địa điểm xây dựng: </t>
    </r>
    <r>
      <rPr>
        <sz val="13"/>
        <color theme="1"/>
        <rFont val="Times New Roman"/>
        <family val="1"/>
      </rPr>
      <t>Xã Trung Sơn, Huyện Quan Hoá, Tỉnh Thanh Hoá</t>
    </r>
  </si>
  <si>
    <t>1. Đối tượng nghiệm thu:</t>
  </si>
  <si>
    <t>- Hồ sơ thiết kế BVTC được Chủ đầu tư phê duyệt theo quyết định số: 254/QĐ-TĐTS ngày 16/09/2013;</t>
  </si>
  <si>
    <t>2. Thành phần nghiệm thu:</t>
  </si>
  <si>
    <r>
      <t xml:space="preserve">2.1. Chủ đầu tư: </t>
    </r>
    <r>
      <rPr>
        <sz val="13"/>
        <color theme="1"/>
        <rFont val="Times New Roman"/>
        <family val="1"/>
      </rPr>
      <t>Ban quản lý dự án thủy điện Trung Sơn</t>
    </r>
  </si>
  <si>
    <t>- Ông: ..........................................</t>
  </si>
  <si>
    <t>Chức vụ: .................................</t>
  </si>
  <si>
    <t>2.2. Tư vấn giám sát:</t>
  </si>
  <si>
    <t xml:space="preserve">2.3. Nhà thầu thi công: </t>
  </si>
  <si>
    <t>Chức vụ: Cán bộ kỹ thuật</t>
  </si>
  <si>
    <t>3. Thời gian:</t>
  </si>
  <si>
    <t>4. Căn cứ kiểm tra và nghiệm thu :</t>
  </si>
  <si>
    <t>- Hợp đồng xây lắp số 10/2014/HĐXL-TĐTS ngày 25/02/2014;</t>
  </si>
  <si>
    <t>-  Các kết quả thí nghiệm vật liệu, chứng chỉ vật liệu, chứng chỉ của nhà sản xuất, kết quả thiết kế thành phần cấp phối bê tông được duyệt.</t>
  </si>
  <si>
    <t>- Nhật ký thi công</t>
  </si>
  <si>
    <t>5. Nội dung kiểm tra, nghiệm thu:</t>
  </si>
  <si>
    <t>Loại vật liệu</t>
  </si>
  <si>
    <t>Đơn vị</t>
  </si>
  <si>
    <t>Khối lượng nghiệm thu</t>
  </si>
  <si>
    <t>Phương pháp kiểm tra</t>
  </si>
  <si>
    <t>Kết luận kiểm tra</t>
  </si>
  <si>
    <t>Đạt</t>
  </si>
  <si>
    <t>Không đạt</t>
  </si>
  <si>
    <t xml:space="preserve">Xi măng </t>
  </si>
  <si>
    <t>- Đếm số bao</t>
  </si>
  <si>
    <t>Cát vàng bê tông</t>
  </si>
  <si>
    <t>- Trực quan
- Dụng cụ đo thích hợp</t>
  </si>
  <si>
    <t>Đá 4x6cm</t>
  </si>
  <si>
    <t>Vật liệu trên được lấy tại kho bãi tập kết tại công trường, và đã được nghiệm thu</t>
  </si>
  <si>
    <t>6. Kết luận:</t>
  </si>
  <si>
    <t>- Khối lượng, chất lượng vật liệu đủ điều kiện đưa vào thi công;</t>
  </si>
  <si>
    <t>- Đồng ý cho đơn vị thi công triển khai các công việc xây lắp tiếp theo.</t>
  </si>
  <si>
    <t>CÁC BÊN THAM GIA NGHIỆM THU KÍ TÊN</t>
  </si>
  <si>
    <t>NHÀ THẦU THI CÔNG</t>
  </si>
  <si>
    <t>BIÊN BẢN NGHIỆM THU CÔNG TÁC CỐT THÉP</t>
  </si>
  <si>
    <t>a, Căn cứ nghiệm thu:</t>
  </si>
  <si>
    <t>- TCVN 4453:1995 "Kết cấu BT và BTCT toàn khối - Tiêu chuẩn Thi công và nghiệm thu";</t>
  </si>
  <si>
    <t>- TCVN 5574:1991 “Kết cấu bê tông cốt thép” và TCVN 1651:2008 “Thép cốt bê tông”;</t>
  </si>
  <si>
    <t>- TCXD 224 : 1998 “Thép dùng trong bê tông cốt thép – Phương pháp thử uốn và uốn lại”</t>
  </si>
  <si>
    <t>- Biên bản nghiệm thu vật liệu, thiết bị trước khi sử dụng;</t>
  </si>
  <si>
    <t>- Các kết quả thí nghiệm vật liệu, chứng chỉ vật liệu, chứng chỉ của nhà sản xuất.</t>
  </si>
  <si>
    <t>- Nhật kí thi công.</t>
  </si>
  <si>
    <t>b, Về chất lượng công việc thực hiện:</t>
  </si>
  <si>
    <t>- Các yêu cầu về kiểm tra cốt thép :</t>
  </si>
  <si>
    <t>Các yêu cầu kiểm tra</t>
  </si>
  <si>
    <t>Đánh giá</t>
  </si>
  <si>
    <t>Sự phù hợp của cốt thép đưa vào sử dụng so với thiết kế</t>
  </si>
  <si>
    <t>Bằng thước kẹp, chứng chỉ của lô thép được nhập</t>
  </si>
  <si>
    <t>√</t>
  </si>
  <si>
    <t>Mặt ngoài cốt thép</t>
  </si>
  <si>
    <t>Trực quan</t>
  </si>
  <si>
    <t>Công tác gia công cốt thép : Cắt, uốn</t>
  </si>
  <si>
    <t>Nối, buộc cốt thép</t>
  </si>
  <si>
    <t>Trực quan, bằng thước đo</t>
  </si>
  <si>
    <t>Chủng loại, vị trí, số lượng cốt thép đã lắp dựng so với thiết kế</t>
  </si>
  <si>
    <t>Sự phù hợp của các loại thép chờ và chi tiết đặt sẵn so với thiết kế</t>
  </si>
  <si>
    <t>Chiều dầy lớp bảo vệ bê tông</t>
  </si>
  <si>
    <t>Bằng thước đo</t>
  </si>
  <si>
    <r>
      <t xml:space="preserve">c, Các ý kiến khác: </t>
    </r>
    <r>
      <rPr>
        <sz val="13"/>
        <color theme="1"/>
        <rFont val="Times New Roman"/>
        <family val="1"/>
      </rPr>
      <t>Không</t>
    </r>
  </si>
  <si>
    <t>5. Kết luận:</t>
  </si>
  <si>
    <t>- Chất lượng, khối lượng thi công đạt yêu cầu kỹ thuật.</t>
  </si>
  <si>
    <t>- Đồng ý nghiệm thu để đơn vị thi công triển khai công việc xây lắp tiếp theo.</t>
  </si>
  <si>
    <t>BIÊN BẢN NGHIỆM THU CÔNG TÁC VÁN KHUÔN</t>
  </si>
  <si>
    <t>- Các yêu cầu về kiểm tra cốp pha, đà giáo:</t>
  </si>
  <si>
    <t>Kết quả kiểm tra</t>
  </si>
  <si>
    <t>Cốp pha đã lắp dựng</t>
  </si>
  <si>
    <t>Hình dáng kích thước</t>
  </si>
  <si>
    <t>Trực quan, thước</t>
  </si>
  <si>
    <t>Kết cấu cốp pha</t>
  </si>
  <si>
    <t>Độ kín, khít giữa các tấm cốp pha, giữa cốp pha và mặt nền</t>
  </si>
  <si>
    <t>Chi tiết đặt sẵn (nếu có)</t>
  </si>
  <si>
    <t>Kiểm tra kích thước, vị trí bằng dụng cụ thích hợp</t>
  </si>
  <si>
    <t>Chống dính cốp pha</t>
  </si>
  <si>
    <t>Vệ sinh bên trong cốp pha</t>
  </si>
  <si>
    <t>Độ nghiêng, cao độ và kích thước cốp pha</t>
  </si>
  <si>
    <t>Trực quan và các dụng cụ thích hợp</t>
  </si>
  <si>
    <t>Độ ẩm của cốp pha gỗ</t>
  </si>
  <si>
    <t>Đà giáo đã lắp dựng</t>
  </si>
  <si>
    <t>Cột chống đà giáo</t>
  </si>
  <si>
    <t>Trực quan, dùng tay lắc mạnh các cột chống, các nêm ở từng cột chống</t>
  </si>
  <si>
    <t>Độ cứng và ổn định</t>
  </si>
  <si>
    <t>Đối chiếu với thiết kế, biện pháp tổ chức thi công được phê duyệt</t>
  </si>
  <si>
    <t>KIỂM TRA CÔNG TÁC CHUẨN BỊ ĐỔ BÊ TÔNG</t>
  </si>
  <si>
    <t>1. Đối tượng kiểm tra:</t>
  </si>
  <si>
    <t>- Nhật ký thi công.</t>
  </si>
  <si>
    <t>5. Kết quả kiểm tra</t>
  </si>
  <si>
    <t>Hạng mục</t>
  </si>
  <si>
    <t>Kết luận</t>
  </si>
  <si>
    <t>I - Vật liệu</t>
  </si>
  <si>
    <t>cái</t>
  </si>
  <si>
    <t>kg</t>
  </si>
  <si>
    <t>Cát vàng</t>
  </si>
  <si>
    <t>m3</t>
  </si>
  <si>
    <t>lít</t>
  </si>
  <si>
    <t>II - Thiết bị, nhân lực</t>
  </si>
  <si>
    <t>Nhân lực</t>
  </si>
  <si>
    <t>người</t>
  </si>
  <si>
    <t>Máy trộn bê tông 250 lít</t>
  </si>
  <si>
    <t>máy</t>
  </si>
  <si>
    <t xml:space="preserve">Nguồn điện </t>
  </si>
  <si>
    <t>Máy phát điện</t>
  </si>
  <si>
    <t>Khuôn mẫu 150x150x150mm</t>
  </si>
  <si>
    <t>tổ</t>
  </si>
  <si>
    <t>Máy đầm bê tông (đầm bàn + đầm dùi)</t>
  </si>
  <si>
    <t>Xe rùa</t>
  </si>
  <si>
    <t>Thùng đong cốt liệu</t>
  </si>
  <si>
    <r>
      <t xml:space="preserve">6. Các ý kiến khác: </t>
    </r>
    <r>
      <rPr>
        <sz val="13"/>
        <color theme="1"/>
        <rFont val="Times New Roman"/>
        <family val="1"/>
      </rPr>
      <t>Không.</t>
    </r>
  </si>
  <si>
    <t>7. Kết luận:</t>
  </si>
  <si>
    <t>- Công tác chuẩn bị trước khi đổ bê tông đạt yêu cầu.</t>
  </si>
  <si>
    <t>- Đồng ý cho đơn vị thi công triển khai các công việc xây dựng tiếp theo.</t>
  </si>
  <si>
    <t xml:space="preserve">PHIẾU GIÁM SÁT QUÁ TRÌNH CÔNG TÁC BÊ TÔNG </t>
  </si>
  <si>
    <t xml:space="preserve">- TCVN 4453:1995 "Kết cấu BT và BTCT toàn khối - Tiêu chuẩn Thi công và nghiệm thu"; </t>
  </si>
  <si>
    <t>- TCVN 5574:1991 “Kết cấu bê tông cốt thép”</t>
  </si>
  <si>
    <t>4.1 Nội dung kiểm tra:</t>
  </si>
  <si>
    <t>Nội dung công việc kiểm tra</t>
  </si>
  <si>
    <t>Kết quả</t>
  </si>
  <si>
    <t>Thiết kế</t>
  </si>
  <si>
    <t>Thực tế</t>
  </si>
  <si>
    <t>I.</t>
  </si>
  <si>
    <t>NHỮNG CÔNG TÁC KHÔNG CÓ BIÊN BẢN</t>
  </si>
  <si>
    <t>Thiết kế thi công được duyệt</t>
  </si>
  <si>
    <t>Biện pháp tổ chức thi công được duyệt</t>
  </si>
  <si>
    <t>Vệ sinh bề mặt móng, đánh xờm bề mặt tiếp xúc</t>
  </si>
  <si>
    <t>Tình trạng nước ngầm, nước thấm</t>
  </si>
  <si>
    <t>Khe thi công</t>
  </si>
  <si>
    <t>Phương pháp, thiết bị dưỡng hộ bê tông</t>
  </si>
  <si>
    <t>II.</t>
  </si>
  <si>
    <t>NHỮNG CÔNG TÁC CÓ BIÊN BẢN</t>
  </si>
  <si>
    <t>Quá trình nghiệm thu chuẩn bị khối đổ</t>
  </si>
  <si>
    <t>BB nghiệm thu công tác ván khuôn, cốt thép</t>
  </si>
  <si>
    <t>Kiểm tra kết quả thí nghiệm vật liệu trước khi đổ bê tông: cát, đá, ximăng, thép,...</t>
  </si>
  <si>
    <t>Trong quá trình thi công bê tông</t>
  </si>
  <si>
    <t>Phiếu giám sát quá trình đổ bê tông</t>
  </si>
  <si>
    <t>Phiếu lấy mẫu bê tông</t>
  </si>
  <si>
    <t>4.2 Theo dõi quá trình đổ bê tông:</t>
  </si>
  <si>
    <t>1-  Phương pháp đổ: Dùng máy trộn bê tông 250 lít, đổ bằng thủ công</t>
  </si>
  <si>
    <t>Xi</t>
  </si>
  <si>
    <t xml:space="preserve">Đá </t>
  </si>
  <si>
    <t>PG :........................</t>
  </si>
  <si>
    <t>7-  Phương pháp bảo dưỡng bê tông: Bao tải ẩm và tưới nước dưỡng ẩm</t>
  </si>
  <si>
    <t>- Quá trình đổ bê tông đạt yêu cầu kỹ thuật</t>
  </si>
  <si>
    <t>- Đồng ý để đơn vị thi công triển khai các công việc xây dựng tiếp theo</t>
  </si>
  <si>
    <t>BIÊN BẢN LẤY MẪU BÊ TÔNG</t>
  </si>
  <si>
    <t>1. Đối tượng lấy mẫu:</t>
  </si>
  <si>
    <t>- TCVN 3015 : 1993 “Hỗn hợp bê tông nặng và bê tông nặng – Lấy mẫu, chế tạo và bảo dưỡng mẫu thử”</t>
  </si>
  <si>
    <t>- Các kết quả thí nghiệm vật liệu, chứng chỉ vật liệu, chứng chỉ của nhà sản xuất, kết quả thiết kế thành phần cấp phối bê tông được duyệt.</t>
  </si>
  <si>
    <t>5. Nội dung</t>
  </si>
  <si>
    <t>5.1. Mục đích lấy mẫu : Thí nghiệm xác định cường độ chịu nén của bê tông</t>
  </si>
  <si>
    <t>5.2. Nội dung lấy mẫu :</t>
  </si>
  <si>
    <t>- Kích thước mẫu :</t>
  </si>
  <si>
    <t>15x15x15cm</t>
  </si>
  <si>
    <t>- Số lượng tổ mẫu :</t>
  </si>
  <si>
    <t>03 tổ mẫu</t>
  </si>
  <si>
    <t xml:space="preserve">- Mác thiết kế : </t>
  </si>
  <si>
    <t>- Điều kiện thời tiết thi công : Nắng</t>
  </si>
  <si>
    <t>- Yêu cầu thí nghiệm : Xác định cường độ chịu nén của bê tông ở tuổi  07, 28 ngày</t>
  </si>
  <si>
    <t>Mẫu được niêm phong, bảo quản tại hiện trường để tiến hành thí nghiệm</t>
  </si>
  <si>
    <t>KIỂM TRA
CỦA CHỦ ĐẦU TƯ</t>
  </si>
  <si>
    <t>NHÀ THẦU
THI CÔNG</t>
  </si>
  <si>
    <t>ĐƠN VỊ
THÍ NGHIỆM</t>
  </si>
  <si>
    <t>BIÊN BẢN NGHIỆM THU CÔNG TÁC BÊ TÔNG</t>
  </si>
  <si>
    <t>a, Căn cứ kiểm tra:</t>
  </si>
  <si>
    <t>- Tiêu chuẩn : TCVN 4453:1995 "Kết cấu BT và BTCT toàn khối - Tiêu chuẩn Thi công và nghiệm thu";</t>
  </si>
  <si>
    <r>
      <t>- TCVN 3118 : 1993</t>
    </r>
    <r>
      <rPr>
        <sz val="13"/>
        <color theme="1"/>
        <rFont val="Times New Roman"/>
        <family val="1"/>
      </rPr>
      <t xml:space="preserve"> “Bê tông nặng - Phương pháp xác định cường độ nén”</t>
    </r>
  </si>
  <si>
    <t>- Kết quả thí nghiệm mẫu;</t>
  </si>
  <si>
    <t>Quá trình bảo dưỡng bê tông</t>
  </si>
  <si>
    <t>Theo dõi</t>
  </si>
  <si>
    <t>Bề mặt bê tông sau khi tháo cốp pha</t>
  </si>
  <si>
    <t>Cường độ bê tông so với thiết kế</t>
  </si>
  <si>
    <t>Kiểm tra kết quả nén mẫu bê tông R07</t>
  </si>
  <si>
    <t>Kiểm tra kết quả nén mẫu bê tông R28</t>
  </si>
  <si>
    <r>
      <t xml:space="preserve">Kết quả siêu âm bê tông </t>
    </r>
    <r>
      <rPr>
        <i/>
        <sz val="13"/>
        <color theme="1"/>
        <rFont val="Times New Roman"/>
        <family val="1"/>
      </rPr>
      <t>(nếu có)</t>
    </r>
  </si>
  <si>
    <t>Phiếu kết quả siêu âm</t>
  </si>
  <si>
    <t>Hồ sơ hoàn công</t>
  </si>
  <si>
    <t>Xem xét và kiểm tra</t>
  </si>
  <si>
    <t xml:space="preserve">- Chất lượng, khối lượng thi công đạt yêu cầu kỹ thuật. </t>
  </si>
  <si>
    <t>- Đồng ý nghiệm thu để nhà thầu thi công triển khai công việc xây lắp tiếp theo.</t>
  </si>
  <si>
    <t>- Ông:</t>
  </si>
  <si>
    <t xml:space="preserve">- Ông: </t>
  </si>
  <si>
    <t>4-  Cấp phối :</t>
  </si>
  <si>
    <t>NTBT</t>
  </si>
  <si>
    <t>BIÊN BẢN LẤY MẪU VỮA XI MĂNG</t>
  </si>
  <si>
    <t>1. Đối tượng lấy mẫu :</t>
  </si>
  <si>
    <t>- TCVN 3121-2003 – Vữa xây dựng, phương pháp thử;</t>
  </si>
  <si>
    <t>- TCVN 4314-2003 – Vữa xây dựng, yêu cầu kỹ thuật;</t>
  </si>
  <si>
    <t>5.1. Mục đích lấy mẫu : Thí nghiệm xác định cường độ chịu nén của vữa xây</t>
  </si>
  <si>
    <t>- Yêu cầu thí nghiệm : Xác định cường độ chịu nén của vữa xi măng ở tuổi 07, 28 ngày</t>
  </si>
  <si>
    <t>- Tiêu chuẩn :  TCVN 4085:1985 – Kết cấu gạch đá, quy phạm thi công và nghiệm thu;</t>
  </si>
  <si>
    <t>- Các kết quả thí nghiệm vật liệu, chứng chỉ vật liệu, chứng chỉ của nhà sản xuất, kết quả thiết kế thành phần cấp phối vữa xi măng được duyệt.</t>
  </si>
  <si>
    <t>Đạt yêu cầu kỹ thuật</t>
  </si>
  <si>
    <t>Gạch</t>
  </si>
  <si>
    <t>7,07x7,07x7,07cm</t>
  </si>
  <si>
    <t>BIÊN BẢN NGHIỆM THU CÔNG TÁC XÂY</t>
  </si>
  <si>
    <t>Loại VL</t>
  </si>
  <si>
    <t>LMXAY</t>
  </si>
  <si>
    <t>NTXAY</t>
  </si>
  <si>
    <t xml:space="preserve">3.6.2. Các bộ phận cốt pha đà giáo không còn chịu lực sau khi bê tông đã đòng rắn (như cốt pha thành bên của dầm, cột, tường) có thể được tháo dỡ khi bê tông đạt cường độ 50 daN/cm2... </t>
  </si>
  <si>
    <t xml:space="preserve">3.6.4. Các kêt cấu ô văng, công -xôn, sêno chỉ được tháo cột chống và cốt pha đáy khi cường độ bê tông đạt đủ mác thiết kế và đã có đối trọng chống lật. </t>
  </si>
  <si>
    <t xml:space="preserve">3.6.3. Đối với cốt pha đà giáo chịu lực của các kết cấu (đáy dầm, sàn, cột chống), nếu không có các chỉ dẫn đặc biệt của thiết kế thì được tháo dỡ khi bê tông đạt các giá trị cường độ ghi trong bảng 3. </t>
  </si>
  <si>
    <t xml:space="preserve">3.6.1. Cốt pha đà giáo chỉ được tháo dỡ khi bê tông đạt cường độ cần thiết để kết cấu chịu được trọng lượng bản thân và các tải trọng tác động khác trong giai đoạn thi công sau. Khi tháo dỡ cốt pha, đà giáo, cần trách không gây ứng suất đột ngột hoặc va trạm mạnh làm hư hại đến kết cấu bê tông. </t>
  </si>
  <si>
    <t>6.4.2. Để tránh sự phân tầng, chiều cao rơi tự do của hỗn hợp bêtông khi đổ không vượt quá l,5m.</t>
  </si>
  <si>
    <t xml:space="preserve">6.4.1. Việc đổ bêtông phải đảm bảo các yêu cầu:
a)  Không làm sai lệch vị trí cốt thép, vị trí cốt pha và chiều dầy lớp bêtông bảo vệ cốt  
     thép.
b)  Không dùng dầm dùi để dịch chuyển ngang bêtông trong cốp pha;
c) Bêtông phải được đổ hên tục cho tới khi hoàn thành một kết cấu nào đó theo quy định của thiết kế.
</t>
  </si>
  <si>
    <t xml:space="preserve">6.4.7. Đổ bê tông cột, tường.
- Cột có chiều cao nhỏ hơn 5m và tường có chiều cao nhỏ hơn 3m thì nên đổ liên tục.
- Cột có kích thước cạnh nhỏ hơn 40cm, tường có chiều dầy nhỏ hơn 15cm và các cột có tiết diện bất kỳ nhưng có đai cốt thép chồng chéo thì nên đổ bêtông liên tục trong từng giai đoạn có chiều cao 1,5m.
</t>
  </si>
  <si>
    <t>- Cột cao hơn 5m và tường cao hơn 3m nên chia làm nhiều đợt đổ bêtông, nhưng phải bảo dầm vị trí và cấu tạo mạch ngừng thi công hợp lí.</t>
  </si>
  <si>
    <t>BIÊN BẢN NGHIỆM THU CÔNG TÁC THÁO VÁN KHUÔN</t>
  </si>
  <si>
    <t>- Các yêu cầu về kiểm tra cốp pha, đà giáo, bê tông sau khi tháo ván khuôn:</t>
  </si>
  <si>
    <t>Độ phẳng của bê tông</t>
  </si>
  <si>
    <t>Kích thước của kết cấu bê tông</t>
  </si>
  <si>
    <t>Bề mặt bê tông sau khi tháo ván khuôn</t>
  </si>
  <si>
    <t>Dụng cụ đo thích hợp</t>
  </si>
  <si>
    <t>TVK</t>
  </si>
  <si>
    <t>Trực quan, dụng cụ đo thích hợp</t>
  </si>
  <si>
    <t>BIÊN BẢN NGHIỆM THU CÔNG VIỆC XÂY DỰNG</t>
  </si>
  <si>
    <t>- Các kết quả thí nghiệm vật liệu, chứng chỉ vật liệu, chứng chỉ của nhà sản xuất, các kết quả thí nghiệm có liên quan đến đối tượng nghiệm thu.</t>
  </si>
  <si>
    <t>CÔNG TY CỔ PHẦN</t>
  </si>
  <si>
    <t>BẮC PHƯƠNG</t>
  </si>
  <si>
    <t>GÓI THẦU W-RE-01</t>
  </si>
  <si>
    <r>
      <t xml:space="preserve">Gói thầu: </t>
    </r>
    <r>
      <rPr>
        <sz val="13"/>
        <color theme="1"/>
        <rFont val="Times New Roman"/>
        <family val="1"/>
      </rPr>
      <t>W-RE-01</t>
    </r>
    <r>
      <rPr>
        <b/>
        <sz val="13"/>
        <color theme="1"/>
        <rFont val="Times New Roman"/>
        <family val="1"/>
      </rPr>
      <t xml:space="preserve"> </t>
    </r>
    <r>
      <rPr>
        <sz val="13"/>
        <color theme="1"/>
        <rFont val="Times New Roman"/>
        <family val="1"/>
      </rPr>
      <t>“Xây dựng khu tái định cư số 01”</t>
    </r>
  </si>
  <si>
    <r>
      <t xml:space="preserve">Địa điểm xây dựng: </t>
    </r>
    <r>
      <rPr>
        <sz val="13"/>
        <color theme="1"/>
        <rFont val="Times New Roman"/>
        <family val="1"/>
      </rPr>
      <t>Xã Trung sơn, Huyện Quan Hoá, Tỉnh Thanh Hoá</t>
    </r>
  </si>
  <si>
    <t>Kính gửi:</t>
  </si>
  <si>
    <t>- Tư vấn giám sát;</t>
  </si>
  <si>
    <t>- Ban QLDA thủy điện Trung Sơn.</t>
  </si>
  <si>
    <t>Trân trọng./.</t>
  </si>
  <si>
    <t>Nơi nhận:</t>
  </si>
  <si>
    <t>- Như trên;</t>
  </si>
  <si>
    <t>- Lưu VT.</t>
  </si>
  <si>
    <t>CÔNG TY CỔ PHẦN BẮC PHƯƠNG</t>
  </si>
  <si>
    <t>CHỈ HUY TRƯỞNG</t>
  </si>
  <si>
    <t>Vũ Mạnh Tuân</t>
  </si>
  <si>
    <t>Ý KIẾN CỦA NGƯỜI GIẢI QUYẾT:</t>
  </si>
  <si>
    <r>
      <t xml:space="preserve">Hạng mục: </t>
    </r>
    <r>
      <rPr>
        <sz val="13"/>
        <color theme="1"/>
        <rFont val="Times New Roman"/>
        <family val="1"/>
      </rPr>
      <t>Bồi thường, hỗ trợ và tái định cư</t>
    </r>
  </si>
  <si>
    <t>…………………………………………………………………………………………………………………</t>
  </si>
  <si>
    <t xml:space="preserve">     Trân trọng kính mời Tư vấn giám sát cử đại diện tham gia kiểm tra, nghiệm thu:</t>
  </si>
  <si>
    <t>Với thời gian và địa điểm như sau:</t>
  </si>
  <si>
    <t>VL</t>
  </si>
  <si>
    <t>CT</t>
  </si>
  <si>
    <t>VK</t>
  </si>
  <si>
    <t>#</t>
  </si>
  <si>
    <t xml:space="preserve">     Nhà thầu Công ty Cổ phần Bắc Phương thi công gói thầu W-RE-01 “Xây dựng khu tái định cư số 01 ở Huyện Quan Hoá, Tỉnh Thanh Hoá”. Nhà thầu đã nghiệm thu nội bộ về chất lượng công việc, và cam kết đảm bảo chất lượng theo yêu cầu thiết kế.</t>
  </si>
  <si>
    <t>4. Đánh giá về bộ phận công trình xây dựng, giai đoạn thi công xây dựng đã thực hiện:</t>
  </si>
  <si>
    <t>- Các biên bản nghiệm thu công việc xây dựng, các kết quả thí nghiệm có liên quan đến đối tượng nghiệm thu trong quá trình thi công;</t>
  </si>
  <si>
    <t>- TCXDVN 371 - 2006: Nghiệm thu chất lượng thi công công trình xây dựng;</t>
  </si>
  <si>
    <t>- TCVN 5637 : 199 : Quản lý chất lượng xây lắp công trình xây dựng;</t>
  </si>
  <si>
    <t>- Nghị định 15/2013/NĐ-CP : Nghị định Quản lý chất lượng công trình xây dựng;</t>
  </si>
  <si>
    <t xml:space="preserve">- TCVN 4447:2012 “Công tác đất - thi công và nghiệm thu; </t>
  </si>
  <si>
    <t>- TCVN 9361:2012 “Công tác nền móng – Thi công và nghiệm thu”</t>
  </si>
  <si>
    <t>- TCVN 9398:2012 “Công tác trắc địa trong xây dựng công trình - Yêu cầu chung”</t>
  </si>
  <si>
    <r>
      <t xml:space="preserve">- </t>
    </r>
    <r>
      <rPr>
        <sz val="13"/>
        <color theme="1"/>
        <rFont val="Times New Roman"/>
        <family val="1"/>
      </rPr>
      <t>TCVN 5308 - 1991: Quy phạm kỹ thuật an toàn trong xây dựng:</t>
    </r>
  </si>
  <si>
    <t>- Và các tiêu chuẩn, quy chuẩn khác có liên quan;</t>
  </si>
  <si>
    <t>b, Về chất lượng xây dựng bộ phận công trình, giai đoạn thi công xây dựng:</t>
  </si>
  <si>
    <t>Nội dung kiểm tra</t>
  </si>
  <si>
    <t>Cao độ, tọa độ</t>
  </si>
  <si>
    <t>Kích thước hình học</t>
  </si>
  <si>
    <t>Chất lượng</t>
  </si>
  <si>
    <t>Khối lượng so với thiết kế</t>
  </si>
  <si>
    <t>Đánh giá so với thiết kế</t>
  </si>
  <si>
    <t>c, Các ý kiến khác:</t>
  </si>
  <si>
    <t>- Các ý kiến khác nếu có:………………………………………………………………</t>
  </si>
  <si>
    <t>……………………………………………………………………………………………………………………………………………………………………………………………………</t>
  </si>
  <si>
    <t>…………………………………………………………………………………………………</t>
  </si>
  <si>
    <t>CGĐ</t>
  </si>
  <si>
    <t>XAY</t>
  </si>
  <si>
    <t>Đá 1x2cm</t>
  </si>
  <si>
    <t>Gạch vỡ</t>
  </si>
  <si>
    <t>1.206,57</t>
  </si>
  <si>
    <t>5,87</t>
  </si>
  <si>
    <t>8,71</t>
  </si>
  <si>
    <t>1.363,83</t>
  </si>
  <si>
    <t>VXM M50#</t>
  </si>
  <si>
    <t>&gt;&gt;&gt;&gt;</t>
  </si>
  <si>
    <t>VXM-TT</t>
  </si>
  <si>
    <t>Gạch vỡ-TT</t>
  </si>
  <si>
    <t>Cấp phối VXM50</t>
  </si>
  <si>
    <t>Xi_CP</t>
  </si>
  <si>
    <t>Cát_CP</t>
  </si>
  <si>
    <t>Nước_CP</t>
  </si>
  <si>
    <t>Xi_GV_TT</t>
  </si>
  <si>
    <t>Cát_GV_TT</t>
  </si>
  <si>
    <t>Gạch_GV_TT</t>
  </si>
  <si>
    <t>Nước_GV_TT</t>
  </si>
  <si>
    <t>Xi_GV_NT</t>
  </si>
  <si>
    <t>Cát_GV_NT</t>
  </si>
  <si>
    <t>Gạch_GV_NT</t>
  </si>
  <si>
    <t>Nước_GV_NT</t>
  </si>
  <si>
    <t>28 độ C</t>
  </si>
  <si>
    <t>1M3 VỮA</t>
  </si>
  <si>
    <t>BIÊN BẢN NGHIỆM THU HOÀN THÀNH BỘ PHẬN CÔNG TRÌNH XÂY DỰNG, GIAI ĐOẠN THI CÔNG XÂY DỰNG</t>
  </si>
  <si>
    <t>VLXAY1</t>
  </si>
  <si>
    <t>LMXAY1</t>
  </si>
  <si>
    <t>XAY1</t>
  </si>
  <si>
    <t>VLXAY3</t>
  </si>
  <si>
    <t>LMXAY3</t>
  </si>
  <si>
    <t>XAY3</t>
  </si>
  <si>
    <t>VLXAY4</t>
  </si>
  <si>
    <t>LMXAY4</t>
  </si>
  <si>
    <t>XAY4</t>
  </si>
  <si>
    <t>Đá hộc</t>
  </si>
  <si>
    <t>M75</t>
  </si>
  <si>
    <t>viên</t>
  </si>
  <si>
    <t>643</t>
  </si>
  <si>
    <t>Chiều dày &lt;= 11cm</t>
  </si>
  <si>
    <t>Chiều dày &lt;= 33cm</t>
  </si>
  <si>
    <t>KL ĐỊNH MỨC</t>
  </si>
  <si>
    <t>VLXAY5</t>
  </si>
  <si>
    <t>LMXAY5</t>
  </si>
  <si>
    <t>XAY5</t>
  </si>
  <si>
    <t>VLXAY6</t>
  </si>
  <si>
    <t>LMXAY6</t>
  </si>
  <si>
    <t>XAY6</t>
  </si>
  <si>
    <t>VLBT1</t>
  </si>
  <si>
    <t>VKBT1</t>
  </si>
  <si>
    <t>CBBT1</t>
  </si>
  <si>
    <t>LMBT1</t>
  </si>
  <si>
    <t>VLBT2</t>
  </si>
  <si>
    <t>CTBT2</t>
  </si>
  <si>
    <t>CBBT2</t>
  </si>
  <si>
    <t>LMBT2</t>
  </si>
  <si>
    <t>VLBT3</t>
  </si>
  <si>
    <t>CTBT3</t>
  </si>
  <si>
    <t>VKBT3</t>
  </si>
  <si>
    <t>CBBT3</t>
  </si>
  <si>
    <t>LMBT3</t>
  </si>
  <si>
    <t>VLBT4</t>
  </si>
  <si>
    <t>VKBT4</t>
  </si>
  <si>
    <t>CTBT4</t>
  </si>
  <si>
    <t>CBBT4</t>
  </si>
  <si>
    <t>LMBT4</t>
  </si>
  <si>
    <t>VLBT5</t>
  </si>
  <si>
    <t>VKBT5</t>
  </si>
  <si>
    <t>CTBT5</t>
  </si>
  <si>
    <t>CBBT5</t>
  </si>
  <si>
    <t>LMBT5</t>
  </si>
  <si>
    <t>VLBT6</t>
  </si>
  <si>
    <t>CTBT6</t>
  </si>
  <si>
    <t>VKBT6</t>
  </si>
  <si>
    <t>CBBT6</t>
  </si>
  <si>
    <t>LMBT6</t>
  </si>
  <si>
    <t>VLBT7</t>
  </si>
  <si>
    <t>VKBT7</t>
  </si>
  <si>
    <t>CTBT7</t>
  </si>
  <si>
    <t>CBBT7</t>
  </si>
  <si>
    <t>LMBT7</t>
  </si>
  <si>
    <t>TVK1</t>
  </si>
  <si>
    <t>TVK3</t>
  </si>
  <si>
    <t>TVK4</t>
  </si>
  <si>
    <t>TVK6</t>
  </si>
  <si>
    <t>TVK7</t>
  </si>
  <si>
    <t>VLBT8</t>
  </si>
  <si>
    <t>CTBT8</t>
  </si>
  <si>
    <t>VKBT8</t>
  </si>
  <si>
    <t>CBBT8</t>
  </si>
  <si>
    <t>LMBT8</t>
  </si>
  <si>
    <t>TVK8</t>
  </si>
  <si>
    <t>CTBT1</t>
  </si>
  <si>
    <t>VKBT2</t>
  </si>
  <si>
    <t>TVK2</t>
  </si>
  <si>
    <t>TVK5</t>
  </si>
  <si>
    <t>8,17</t>
  </si>
  <si>
    <t>0,72</t>
  </si>
  <si>
    <t>1,09</t>
  </si>
  <si>
    <t>2,01</t>
  </si>
  <si>
    <t>0,66</t>
  </si>
  <si>
    <t>0,93</t>
  </si>
  <si>
    <t>13,48</t>
  </si>
  <si>
    <t>0,39</t>
  </si>
  <si>
    <t>1.527,79</t>
  </si>
  <si>
    <t>245,52</t>
  </si>
  <si>
    <t>371,69</t>
  </si>
  <si>
    <t>685,41</t>
  </si>
  <si>
    <t>225,06</t>
  </si>
  <si>
    <t>317,13</t>
  </si>
  <si>
    <t>4.596,68</t>
  </si>
  <si>
    <t>132,99</t>
  </si>
  <si>
    <t>4,1</t>
  </si>
  <si>
    <t>0,32</t>
  </si>
  <si>
    <t>0,49</t>
  </si>
  <si>
    <t>0,9</t>
  </si>
  <si>
    <t>0,3</t>
  </si>
  <si>
    <t>0,42</t>
  </si>
  <si>
    <t>6,07</t>
  </si>
  <si>
    <t>0,18</t>
  </si>
  <si>
    <t>7,34</t>
  </si>
  <si>
    <t>0,62</t>
  </si>
  <si>
    <t>0,94</t>
  </si>
  <si>
    <t>1,74</t>
  </si>
  <si>
    <t>0,57</t>
  </si>
  <si>
    <t>0,81</t>
  </si>
  <si>
    <t>11,67</t>
  </si>
  <si>
    <t>0,34</t>
  </si>
  <si>
    <t>1.429,75</t>
  </si>
  <si>
    <t>140,40</t>
  </si>
  <si>
    <t>212,55</t>
  </si>
  <si>
    <t>391,95</t>
  </si>
  <si>
    <t>128,7</t>
  </si>
  <si>
    <t>181,35</t>
  </si>
  <si>
    <t>2.628,6</t>
  </si>
  <si>
    <t>76,05</t>
  </si>
  <si>
    <t>122,08</t>
  </si>
  <si>
    <t>142,56</t>
  </si>
  <si>
    <t>225,09</t>
  </si>
  <si>
    <t>45,68</t>
  </si>
  <si>
    <t>99,83</t>
  </si>
  <si>
    <t>1.128,65</t>
  </si>
  <si>
    <t>36,73</t>
  </si>
  <si>
    <t>8,99</t>
  </si>
  <si>
    <t>0,79</t>
  </si>
  <si>
    <t>1,2</t>
  </si>
  <si>
    <t>2,21</t>
  </si>
  <si>
    <t>0,73</t>
  </si>
  <si>
    <t>1,02</t>
  </si>
  <si>
    <t>14,83</t>
  </si>
  <si>
    <t>0,43</t>
  </si>
  <si>
    <t>56,58</t>
  </si>
  <si>
    <t>1,91</t>
  </si>
  <si>
    <t>33,19</t>
  </si>
  <si>
    <t>10,06</t>
  </si>
  <si>
    <t>1,87</t>
  </si>
  <si>
    <t>4,32</t>
  </si>
  <si>
    <t>NTCV1</t>
  </si>
  <si>
    <t>NTBT1</t>
  </si>
  <si>
    <t>NTBT2</t>
  </si>
  <si>
    <t>NTHT1</t>
  </si>
  <si>
    <t>NT</t>
  </si>
  <si>
    <t>NTBT3</t>
  </si>
  <si>
    <t>NTBT4</t>
  </si>
  <si>
    <t>NTBT5</t>
  </si>
  <si>
    <t>NTBT6</t>
  </si>
  <si>
    <t>NTBT7</t>
  </si>
  <si>
    <t>NTBT8</t>
  </si>
  <si>
    <t>NTCV2</t>
  </si>
  <si>
    <t>NTCV3</t>
  </si>
  <si>
    <t>NTCV4</t>
  </si>
  <si>
    <t>NTCV5</t>
  </si>
  <si>
    <t>VLB</t>
  </si>
  <si>
    <t>VKB</t>
  </si>
  <si>
    <t>CTB</t>
  </si>
  <si>
    <t>CBB</t>
  </si>
  <si>
    <t>GSB</t>
  </si>
  <si>
    <t>LMB</t>
  </si>
  <si>
    <t>NTB</t>
  </si>
  <si>
    <t>VLX</t>
  </si>
  <si>
    <t>LMX</t>
  </si>
  <si>
    <t>NTC</t>
  </si>
  <si>
    <t>NTH</t>
  </si>
  <si>
    <t>LMVX</t>
  </si>
  <si>
    <t>NTHT2</t>
  </si>
  <si>
    <t>NTHT3</t>
  </si>
  <si>
    <t>NTHT4</t>
  </si>
  <si>
    <t>NTHT5</t>
  </si>
  <si>
    <t>NTHT6</t>
  </si>
  <si>
    <t>Vữa 1</t>
  </si>
  <si>
    <t>Vữa 2</t>
  </si>
  <si>
    <t>Mác 75</t>
  </si>
  <si>
    <t>Mác 50</t>
  </si>
  <si>
    <t>Mác 100</t>
  </si>
  <si>
    <t>C/Y LOẠI VL</t>
  </si>
  <si>
    <t>C/Y ĐƠN VỊ</t>
  </si>
  <si>
    <t>..........................................</t>
  </si>
  <si>
    <t>VLBT9</t>
  </si>
  <si>
    <t>VLBT10</t>
  </si>
  <si>
    <t>VLBT11</t>
  </si>
  <si>
    <t>VLBT12</t>
  </si>
  <si>
    <t>VLBT13</t>
  </si>
  <si>
    <t>VLBT14</t>
  </si>
  <si>
    <t>VLBT15</t>
  </si>
  <si>
    <t>KL BT TK</t>
  </si>
  <si>
    <t>KL THÉP</t>
  </si>
  <si>
    <t>MÃ NHÀ</t>
  </si>
  <si>
    <t>MÁC VỮA</t>
  </si>
  <si>
    <t>ĐM VẬT LIỆU</t>
  </si>
  <si>
    <t>MẪU V1</t>
  </si>
  <si>
    <t>MẪU V2</t>
  </si>
  <si>
    <t>MẪU V3</t>
  </si>
  <si>
    <t>VLXAY7</t>
  </si>
  <si>
    <t>VLXAY8</t>
  </si>
  <si>
    <t>VLXAY9</t>
  </si>
  <si>
    <t>VLBT16</t>
  </si>
  <si>
    <t>VLBT17</t>
  </si>
  <si>
    <t>VLBT18</t>
  </si>
  <si>
    <t>VLBT19</t>
  </si>
  <si>
    <t>CTBT9</t>
  </si>
  <si>
    <t>CTBT10</t>
  </si>
  <si>
    <t>CTBT11</t>
  </si>
  <si>
    <t>CTBT12</t>
  </si>
  <si>
    <t>CTBT13</t>
  </si>
  <si>
    <t>CTBT14</t>
  </si>
  <si>
    <t>CTBT15</t>
  </si>
  <si>
    <t>CTBT16</t>
  </si>
  <si>
    <t>CTBT17</t>
  </si>
  <si>
    <t>CTBT18</t>
  </si>
  <si>
    <t>CTBT19</t>
  </si>
  <si>
    <t>VKBT9</t>
  </si>
  <si>
    <t>VKBT10</t>
  </si>
  <si>
    <t>VKBT11</t>
  </si>
  <si>
    <t>VKBT12</t>
  </si>
  <si>
    <t>VKBT13</t>
  </si>
  <si>
    <t>VKBT14</t>
  </si>
  <si>
    <t>VKBT15</t>
  </si>
  <si>
    <t>VKBT16</t>
  </si>
  <si>
    <t>VKBT17</t>
  </si>
  <si>
    <t>VKBT18</t>
  </si>
  <si>
    <t>VKBT19</t>
  </si>
  <si>
    <t>CBBT9</t>
  </si>
  <si>
    <t>CBBT10</t>
  </si>
  <si>
    <t>CBBT11</t>
  </si>
  <si>
    <t>CBBT12</t>
  </si>
  <si>
    <t>CBBT13</t>
  </si>
  <si>
    <t>CBBT14</t>
  </si>
  <si>
    <t>CBBT15</t>
  </si>
  <si>
    <t>CBBT16</t>
  </si>
  <si>
    <t>CBBT17</t>
  </si>
  <si>
    <t>CBBT18</t>
  </si>
  <si>
    <t>CBBT19</t>
  </si>
  <si>
    <t>LMBT9</t>
  </si>
  <si>
    <t>LMBT10</t>
  </si>
  <si>
    <t>LMBT11</t>
  </si>
  <si>
    <t>LMBT12</t>
  </si>
  <si>
    <t>LMBT13</t>
  </si>
  <si>
    <t>LMBT14</t>
  </si>
  <si>
    <t>LMBT15</t>
  </si>
  <si>
    <t>LMBT16</t>
  </si>
  <si>
    <t>LMBT17</t>
  </si>
  <si>
    <t>LMBT18</t>
  </si>
  <si>
    <t>LMBT19</t>
  </si>
  <si>
    <t>TVK9</t>
  </si>
  <si>
    <t>TVK10</t>
  </si>
  <si>
    <t>TVK11</t>
  </si>
  <si>
    <t>TVK12</t>
  </si>
  <si>
    <t>TVK13</t>
  </si>
  <si>
    <t>TVK14</t>
  </si>
  <si>
    <t>TVK15</t>
  </si>
  <si>
    <t>TVK16</t>
  </si>
  <si>
    <t>TVK17</t>
  </si>
  <si>
    <t>TVK18</t>
  </si>
  <si>
    <t>TVK19</t>
  </si>
  <si>
    <t>NTBT9</t>
  </si>
  <si>
    <t>NTBT10</t>
  </si>
  <si>
    <t>NTBT11</t>
  </si>
  <si>
    <t>NTBT12</t>
  </si>
  <si>
    <t>NTBT13</t>
  </si>
  <si>
    <t>NTBT14</t>
  </si>
  <si>
    <t>NTBT15</t>
  </si>
  <si>
    <t>NTBT16</t>
  </si>
  <si>
    <t>NTBT17</t>
  </si>
  <si>
    <t>NTBT18</t>
  </si>
  <si>
    <t>NTBT19</t>
  </si>
  <si>
    <t>NTHT7</t>
  </si>
  <si>
    <t>NTHT8</t>
  </si>
  <si>
    <t>NTHT9</t>
  </si>
  <si>
    <t>NTHT10</t>
  </si>
  <si>
    <t>NTHT11</t>
  </si>
  <si>
    <t>NTHT12</t>
  </si>
  <si>
    <t>NTHT13</t>
  </si>
  <si>
    <t>NTHT14</t>
  </si>
  <si>
    <t>LMXAY7</t>
  </si>
  <si>
    <t>LMXAY8</t>
  </si>
  <si>
    <t>LMXAY9</t>
  </si>
  <si>
    <t>NHẬP DỮ LIỆU CHO MỤC XÂY</t>
  </si>
  <si>
    <t>NHẬP DỮ LIỆU CHO MỤC ĐỔ BÊ TÔNG</t>
  </si>
  <si>
    <t>…..giờ…..</t>
  </si>
  <si>
    <t>NỘI DUNG</t>
  </si>
  <si>
    <t>GSBT1</t>
  </si>
  <si>
    <t>GSBT2</t>
  </si>
  <si>
    <t>GSBT3</t>
  </si>
  <si>
    <t>GSBT4</t>
  </si>
  <si>
    <t>…..</t>
  </si>
  <si>
    <t>TVGS</t>
  </si>
  <si>
    <t>THÀNH PHẦN</t>
  </si>
  <si>
    <t>DVTN</t>
  </si>
  <si>
    <t>CHỨC VỤ</t>
  </si>
  <si>
    <t>Cán bộ kỹ thuật</t>
  </si>
  <si>
    <t>Thí nghiệm viên</t>
  </si>
  <si>
    <t>.................................</t>
  </si>
  <si>
    <t>2.4. Đơn vị thí nghiệm:</t>
  </si>
  <si>
    <t>Điểm TĐC Pom Chốn</t>
  </si>
  <si>
    <t>Nguyễn Xuân Quỳnh</t>
  </si>
  <si>
    <t>Vật liệu trước khi đổ bê tông giằng móng</t>
  </si>
  <si>
    <t>Nghiệm thu ván khuôn bê tông giằng móng</t>
  </si>
  <si>
    <t>Nghiệm thu cốt thép giằng móng</t>
  </si>
  <si>
    <t>Giám sát quá trình đổ bê tông giằng móng</t>
  </si>
  <si>
    <t>Lấy mẫu bê tông giằng móng</t>
  </si>
  <si>
    <t>Nghiệm thu bê tông giằng móng</t>
  </si>
  <si>
    <t>Vật liệu trước khi xây tường, xây cột (từ cốt 0.00 đến cốt lanh tô)</t>
  </si>
  <si>
    <t>Lấy mẫu vữa xi măng xây tường, xây cột, mác 50# (từ cốt 0.00 đến cốt lanh tô)</t>
  </si>
  <si>
    <t>Vật liệu trước khi đổ bê tông lanh tô cửa sổ và cửa đi</t>
  </si>
  <si>
    <t>Lấy mẫu bê tông lanh tô cửa sổ và cửa đi</t>
  </si>
  <si>
    <t>Nghiệm thu bê tông lanh tô cửa sổ và cửa đi</t>
  </si>
  <si>
    <t>Nghiệm thu công tác xây tường thu hồi, tường chắn mái</t>
  </si>
  <si>
    <t>Vật liệu trước khi đổ bê tông giằng tường thu hồi</t>
  </si>
  <si>
    <t>Kiểm tra công tác chuẩn bị đổ bê tông giằng tường thu hồi</t>
  </si>
  <si>
    <t>Giám sát quá trình đổ bê tông giằng tường thu hồi</t>
  </si>
  <si>
    <t>Lấy mẫu bê tông giằng tường thu hồi</t>
  </si>
  <si>
    <t>Nghiệm thu bê tông giằng tường thu hồi</t>
  </si>
  <si>
    <t>GSBT5</t>
  </si>
  <si>
    <t>GSBT6</t>
  </si>
  <si>
    <t>Tên</t>
  </si>
  <si>
    <t>CV</t>
  </si>
  <si>
    <t>NTHT</t>
  </si>
  <si>
    <t>Đào hố móng</t>
  </si>
  <si>
    <t>Vật liệu trước khi đổ bê tông lót móng</t>
  </si>
  <si>
    <t>Nghiệm thu công tác lắp dựng ván khuôn bê tông lót móng</t>
  </si>
  <si>
    <t>Kiểm tra công tác chuẩn bị đổ bê tông lót móng</t>
  </si>
  <si>
    <t>Giám sát quá trình đổ bê tông lót móng</t>
  </si>
  <si>
    <t>Lấy mẫu bê tông lót móng</t>
  </si>
  <si>
    <t>Nghiệm thu công tác tháo ván khuôn bê tông lót móng</t>
  </si>
  <si>
    <t>Nghiệm thu bê tông lót móng</t>
  </si>
  <si>
    <t>Vật liệu trước khi xây móng đá hộc</t>
  </si>
  <si>
    <t>Lấy mẫu vữa xi măng xây móng đá hộc</t>
  </si>
  <si>
    <t>Xây móng nhà bằng đá hộc, vữa xi măng mác 75#</t>
  </si>
  <si>
    <t>Kiểm tra công tác chuẩn bị đổ bê tông giằng móng</t>
  </si>
  <si>
    <t>Nghiệm thu bê tông giằng móng sau khi tháo ván khuôn</t>
  </si>
  <si>
    <t>Nghiệm thu công tác xây tường nhà bằng gạch chỉ đặc, vữa xi măng mác 50# (từ cốt 0.00 đến cốt lanh tô)</t>
  </si>
  <si>
    <t>Nghiệm thu công tác lắp dựng ván khuôn lanh tô cửa sổ và cửa đi</t>
  </si>
  <si>
    <t>Nghiệm thu công tác lắp dựng cốt thép lanh tô cửa sổ và cửa đi</t>
  </si>
  <si>
    <t>Kiểm tra công tác chuẩn bị trước khi đổ bê tông lanh tô cửa sổ và cửa đi</t>
  </si>
  <si>
    <t>Giám sát quá trình đổ bê tông lanh tô cửa sổ và cửa đi</t>
  </si>
  <si>
    <t>Vật liệu trước khi đổ bê tông dầm D1, D2, D3, D4, D4A, D4B, bê tông sàn, sê nô thu nước</t>
  </si>
  <si>
    <t>Nghiệm thu ván khuôn bê tông dầm D1, D2, D3, D4, D4A, D4B, bê tông sàn, sê nô thu nước</t>
  </si>
  <si>
    <t>Nghiệm thu cốt thép dầm D1, D2, D3, D4, D4A, D4B, bê tông sàn, sê nô thu nước</t>
  </si>
  <si>
    <t>Kiểm tra công tác chuẩn bị đổ bê tông dầm D1, D2, D3, D4, D4A, D4B, bê tông sàn, sê nô thu nước</t>
  </si>
  <si>
    <t>Giám sát quá trình đổ bê tông dầm D1, D2, D3, D4, D4A, D4B, bê tông sàn, sê nô thu nước</t>
  </si>
  <si>
    <t>Lấy mẫu bê tông dầm D1, D2, D3, D4, D4A, D4B, bê tông sàn, sê nô thu nước</t>
  </si>
  <si>
    <t>Tháo ván khuôn bê tông dầm D1, D2, D3, D4, D4A, D4B, bê tông sàn, sê nô thu nước</t>
  </si>
  <si>
    <t>Nghiệm thu bê tông  dầm D1, D2, D3, D4, D4A, D4B, bê tông sàn, sê nô thu nước</t>
  </si>
  <si>
    <t>Vật liệu trước khi xây tường thu hồi, tường chắn mái</t>
  </si>
  <si>
    <t>Lấy mẫu vữa xi măng mác 75#, xây tường thu hồi, tường chắn mái</t>
  </si>
  <si>
    <t>Nghiệm thu ván khuôn bê tông giằng tường thu hồi</t>
  </si>
  <si>
    <t>Nghiệm thu cốt thép giằng tường thu hồi</t>
  </si>
  <si>
    <t>Nghiệm thu tháo ván khuôn bê tông giằng tường thu hồi</t>
  </si>
  <si>
    <t>Vật liệu trước khi đổ bê tông Lam trang trí</t>
  </si>
  <si>
    <t>Nghiệm thu ván khuôn bê tông Lam trang trí</t>
  </si>
  <si>
    <t>Nghiệm thu cốt thép Lam trang trí</t>
  </si>
  <si>
    <t>Kiểm tra công tác chuẩn bị đổ bê tông Lam trang trí</t>
  </si>
  <si>
    <t>Giám sát quá trình đổ bê tông Lam trang trí</t>
  </si>
  <si>
    <t>Lấy mẫu bê tông Lam trang trí</t>
  </si>
  <si>
    <t>Nghiệm thu tháo ván khuôn bê tông Lam trang trí</t>
  </si>
  <si>
    <t>Nghiệm thu bê tông Lam trang trí</t>
  </si>
  <si>
    <t>DMTH3PC</t>
  </si>
  <si>
    <t>VLTH3PC</t>
  </si>
  <si>
    <t>VKTH3PC</t>
  </si>
  <si>
    <t>CBTH3PC</t>
  </si>
  <si>
    <t>GSTH3PC</t>
  </si>
  <si>
    <t>LMTH3PC</t>
  </si>
  <si>
    <t>TVKTH3PC</t>
  </si>
  <si>
    <t>BTTH3PC</t>
  </si>
  <si>
    <t>XAYTH3PC</t>
  </si>
  <si>
    <t>CTTH3PC</t>
  </si>
  <si>
    <t>Nhà tiểu học 3 phòng</t>
  </si>
  <si>
    <t>TH3PC</t>
  </si>
  <si>
    <t>GSBT7</t>
  </si>
  <si>
    <t>GSBT8</t>
  </si>
  <si>
    <t>GSBT9</t>
  </si>
  <si>
    <t>GSBT10</t>
  </si>
  <si>
    <t>GSBT11</t>
  </si>
  <si>
    <t>GSBT12</t>
  </si>
  <si>
    <t>GSBT13</t>
  </si>
  <si>
    <t>GSBT14</t>
  </si>
  <si>
    <t>GSBT15</t>
  </si>
  <si>
    <t>GSBT16</t>
  </si>
  <si>
    <t>GSBT17</t>
  </si>
  <si>
    <t>GSBT18</t>
  </si>
  <si>
    <t>GSBT19</t>
  </si>
  <si>
    <t>VLXAY10</t>
  </si>
  <si>
    <t>LMXAY10</t>
  </si>
  <si>
    <t>XAY7</t>
  </si>
  <si>
    <t>XAY8</t>
  </si>
  <si>
    <t>XAY9</t>
  </si>
  <si>
    <t>XAY10</t>
  </si>
  <si>
    <t>08 giờ 00</t>
  </si>
  <si>
    <t>09 giờ 00</t>
  </si>
  <si>
    <t>10 giờ 00</t>
  </si>
  <si>
    <t>11 giờ 00</t>
  </si>
  <si>
    <t>14 giờ 00</t>
  </si>
  <si>
    <t>16 giờ 00</t>
  </si>
  <si>
    <t>17 giờ 00</t>
  </si>
  <si>
    <t>Nghiệm thu hoàn thành phần móng</t>
  </si>
  <si>
    <t>HTMONG</t>
  </si>
  <si>
    <t>- TCVN 8264:2009 Gạch ốp lát. Quy phạm thi công và nghiệm thu</t>
  </si>
  <si>
    <t>Ốp, lát, láng</t>
  </si>
  <si>
    <t>- TCVN 9377-1:2012 Công tác hoàn thiện trong xây dựng - Thi công và nghiệm thu. Phần 1 : Công tác lát và láng trong xây dựng</t>
  </si>
  <si>
    <t>- TCVN 9377-3:2012 Công tác hoàn thiện trong xây dựng - Thi công và nghiệm thu - Phần 3: Công tác ốp trong xây dựng</t>
  </si>
  <si>
    <t>- TCVN 9377-2:2012 Công tác hoàn thiện trong xây dựng - Thi công và nghiệm thu - Phần 2: Công tác trát trong xây dựng</t>
  </si>
  <si>
    <t>Trát</t>
  </si>
  <si>
    <t>- TCVN 5639:1991 Nghiệm thu thiết bị đã lắp đặt xong. Nguyên tắc cơ bản</t>
  </si>
  <si>
    <t>LĐ thiết bị</t>
  </si>
  <si>
    <t>- TCXD 25 - 1991: Lắp đặt dây dẫn trong nhà và công trình;</t>
  </si>
  <si>
    <t>Điện</t>
  </si>
  <si>
    <t>- TCXD 27 - 1991 Lắp đặt thiết bị điện trong nhà ở;</t>
  </si>
  <si>
    <t>-  TCXDVN 394:2007 Thiết kế lắp đặt trang thiết bị điện - Phần an toàn điện.</t>
  </si>
  <si>
    <t>- TCVN 3624:1981 Các mối nối tiếp xúc điện. Quy tắc nghiệm thu và phương pháp thử</t>
  </si>
  <si>
    <t>Đào móng</t>
  </si>
  <si>
    <t>- TCVN 9361:2012 “Công tác nền móng - thi công và nghiệm thu”</t>
  </si>
  <si>
    <t>Công tác trắc địa</t>
  </si>
  <si>
    <t>- TCVN 4519 : 1988 Hệ thống thoát nước bên trong nhà và công trình - Quy phạm thi công và nghiệm thu.</t>
  </si>
  <si>
    <t>Cấp thoát nước</t>
  </si>
  <si>
    <t>- TCVN 5576:1991 Hệ thống cấp thoát nước. Quy phạm quản lý kỹ thuật</t>
  </si>
  <si>
    <t>- TCVN 8789:2011 Sơn bảo vệ kết cấu thép – Yêu cầu kỹ thuật và phương pháp thử</t>
  </si>
  <si>
    <t>Sơn thép</t>
  </si>
  <si>
    <t>- TCVN 8790:2011 Sơn bảo vệ kết cấu thép - Quy trình thi công và nghiệm thu</t>
  </si>
  <si>
    <t>- TCVN 9276:2012 Sơn phủ bảo vệ kết cấu thép – Hướng dẫn kiểm tra, giám sát chất lượng quá trình thi công</t>
  </si>
  <si>
    <t>- TCXDVN 334:2005 - Quy phạm sơn thiết bị và kết cấu thép trong XDDD và Công nghiệp;</t>
  </si>
  <si>
    <t>- TCVN 7505:2005 Quy phạm sử dụng kính trong xây dựng – Lựa chọn và lắp đặt</t>
  </si>
  <si>
    <t>Kính xây dựng</t>
  </si>
  <si>
    <t>- TCN 9366-1 : 2012- Cửa đi, cửa sổ - Phần 1- Cửa gỗ</t>
  </si>
  <si>
    <t>Cửa gỗ</t>
  </si>
  <si>
    <t>- TCN 9366-2 : 2012 - Cửa đi, cửa sổ- Phần 2- Cửa kim loại</t>
  </si>
  <si>
    <t>Cửa sắt</t>
  </si>
  <si>
    <t>- TCVN 9385:2012 Chống sét cho công trình xây dựng - Hướng dẫn thiết kế, kiểm tra và bảo trì hệ thống</t>
  </si>
  <si>
    <t>Chống sét</t>
  </si>
  <si>
    <t>- TCXD 46:1984 - Chống sét cho các công trình xây dựng. Tiêu chuẩn thiết kế -thi công;</t>
  </si>
  <si>
    <t>- TCVN 9113 : 2012 : Ống bê tông cốt thép thoát nước</t>
  </si>
  <si>
    <t>Ống cống</t>
  </si>
  <si>
    <t>- 22TCN 159-86: Ống bê tông cốt thép - Yêu cầu kỹ thuật;</t>
  </si>
  <si>
    <t>-  TCXD170 –  89: Tiêu chuẩn thi công  –  Nghiệm thu gia công lắp dựng cấu kiện thép;</t>
  </si>
  <si>
    <t>Xà gồ, vì kèo</t>
  </si>
  <si>
    <t>KQTNVL</t>
  </si>
  <si>
    <t>Chức vụ: Chỉ huy trưởng</t>
  </si>
  <si>
    <t>Vật liệu trước khi xây tường, xây cột (từ cốt lanh tô đến cốt +3.60)</t>
  </si>
  <si>
    <t>Lấy mẫu vữa xi măng xây tường, xây cột, mác 50# (từ cốt lanh tô đến cốt +3.60)</t>
  </si>
  <si>
    <t>Nghiệm thu công tác xây tường nhà bằng gạch chỉ đặc, vữa xi măng mác 50# (từ cốt lanh tô đến cốt +3.60)</t>
  </si>
  <si>
    <t>Trần Văn Mạnh</t>
  </si>
  <si>
    <t>Chức vụ: Giám sát gói thầu</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</si>
</sst>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quot;/PYC&quot;"/>
    <numFmt numFmtId="165" formatCode="##&quot;/&quot;##&quot;/2014&quot;"/>
    <numFmt numFmtId="173" formatCode="_-* #,##0.0\ _₫_-;\-* #,##0.0\ _₫_-;_-* &quot;-&quot;??\ _₫_-;_-@_-"/>
  </numFmts>
  <fonts count="94">
    <font>
      <sz val="11"/>
      <color theme="1"/>
      <name val="Arial"/>
      <family val="2"/>
      <charset val="163"/>
      <scheme val="minor"/>
    </font>
    <font>
      <sz val="10"/>
      <name val="宋体"/>
      <charset val="134"/>
    </font>
    <font>
      <sz val="10"/>
      <name val="Arial"/>
      <family val="2"/>
    </font>
    <font>
      <b/>
      <sz val="10"/>
      <name val="Arial"/>
      <family val="2"/>
    </font>
    <font>
      <sz val="12"/>
      <name val="Arial"/>
      <family val="2"/>
    </font>
    <font>
      <b/>
      <sz val="12"/>
      <color indexed="8"/>
      <name val="Times New Roman"/>
      <family val="1"/>
    </font>
    <font>
      <b/>
      <sz val="12"/>
      <name val="Times New Roman"/>
      <family val="1"/>
    </font>
    <font>
      <sz val="12"/>
      <name val="Times New Roman"/>
      <family val="1"/>
    </font>
    <font>
      <sz val="13"/>
      <color indexed="8"/>
      <name val="Times New Roman"/>
      <family val="1"/>
    </font>
    <font>
      <b/>
      <sz val="13"/>
      <color indexed="8"/>
      <name val="Times New Roman"/>
      <family val="1"/>
    </font>
    <font>
      <sz val="12"/>
      <color indexed="63"/>
      <name val="Times New Roman"/>
      <family val="1"/>
    </font>
    <font>
      <vertAlign val="subscript"/>
      <sz val="12"/>
      <color indexed="63"/>
      <name val="Times New Roman"/>
      <family val="1"/>
    </font>
    <font>
      <sz val="10"/>
      <name val="vni-times"/>
    </font>
    <font>
      <sz val="13"/>
      <name val="Times New Roman"/>
      <family val="1"/>
    </font>
    <font>
      <sz val="13"/>
      <color indexed="8"/>
      <name val="Times New Roman"/>
      <family val="1"/>
    </font>
    <font>
      <b/>
      <sz val="13"/>
      <name val="Times New Roman"/>
      <family val="1"/>
    </font>
    <font>
      <u/>
      <sz val="11"/>
      <color theme="10"/>
      <name val="Arial"/>
      <family val="2"/>
      <charset val="163"/>
      <scheme val="minor"/>
    </font>
    <font>
      <sz val="11"/>
      <color theme="1"/>
      <name val="Times New Roman"/>
      <family val="1"/>
    </font>
    <font>
      <b/>
      <sz val="11"/>
      <color theme="1"/>
      <name val="Times New Roman"/>
      <family val="1"/>
    </font>
    <font>
      <sz val="10"/>
      <color theme="1"/>
      <name val="Arial"/>
      <family val="2"/>
      <scheme val="minor"/>
    </font>
    <font>
      <sz val="12"/>
      <color theme="1"/>
      <name val="Times New Roman"/>
      <family val="1"/>
    </font>
    <font>
      <sz val="12"/>
      <color theme="1"/>
      <name val="Times New Roman"/>
      <family val="1"/>
      <scheme val="major"/>
    </font>
    <font>
      <sz val="11"/>
      <color theme="1"/>
      <name val="Times New Roman"/>
      <family val="1"/>
      <scheme val="major"/>
    </font>
    <font>
      <sz val="13"/>
      <color theme="1"/>
      <name val="Times New Roman"/>
      <family val="1"/>
      <scheme val="major"/>
    </font>
    <font>
      <b/>
      <sz val="13"/>
      <color theme="1"/>
      <name val="Times New Roman"/>
      <family val="1"/>
      <scheme val="major"/>
    </font>
    <font>
      <b/>
      <sz val="13"/>
      <color theme="1"/>
      <name val="Times New Roman"/>
      <family val="1"/>
    </font>
    <font>
      <b/>
      <sz val="15"/>
      <color theme="1"/>
      <name val="Times New Roman"/>
      <family val="1"/>
      <scheme val="major"/>
    </font>
    <font>
      <b/>
      <sz val="12"/>
      <color theme="1"/>
      <name val="Times New Roman"/>
      <family val="1"/>
    </font>
    <font>
      <b/>
      <sz val="12"/>
      <name val="Times New Roman"/>
      <family val="1"/>
      <scheme val="major"/>
    </font>
    <font>
      <sz val="11"/>
      <color rgb="FFFF0000"/>
      <name val="Times New Roman"/>
      <family val="1"/>
    </font>
    <font>
      <sz val="12"/>
      <color rgb="FF3C3C3C"/>
      <name val="Times New Roman"/>
      <family val="1"/>
      <scheme val="major"/>
    </font>
    <font>
      <b/>
      <sz val="12"/>
      <color rgb="FF3C3C3C"/>
      <name val="Times New Roman"/>
      <family val="1"/>
      <scheme val="major"/>
    </font>
    <font>
      <b/>
      <sz val="12"/>
      <color rgb="FF0000FF"/>
      <name val="Times New Roman"/>
      <family val="1"/>
      <scheme val="major"/>
    </font>
    <font>
      <b/>
      <sz val="12"/>
      <color theme="1"/>
      <name val="Times New Roman"/>
      <family val="1"/>
      <scheme val="major"/>
    </font>
    <font>
      <sz val="12"/>
      <color rgb="FF0000FF"/>
      <name val="Times New Roman"/>
      <family val="1"/>
      <scheme val="major"/>
    </font>
    <font>
      <u/>
      <sz val="12"/>
      <color theme="10"/>
      <name val="Times New Roman"/>
      <family val="1"/>
      <scheme val="major"/>
    </font>
    <font>
      <sz val="11"/>
      <name val="Arial"/>
      <family val="2"/>
      <scheme val="minor"/>
    </font>
    <font>
      <u/>
      <sz val="11"/>
      <name val="Arial"/>
      <family val="2"/>
      <scheme val="minor"/>
    </font>
    <font>
      <b/>
      <sz val="11"/>
      <color theme="1"/>
      <name val="Times New Roman"/>
      <family val="1"/>
      <scheme val="major"/>
    </font>
    <font>
      <b/>
      <sz val="11"/>
      <name val="Times New Roman"/>
      <family val="1"/>
      <scheme val="major"/>
    </font>
    <font>
      <sz val="12"/>
      <name val="Times New Roman"/>
      <family val="1"/>
      <scheme val="major"/>
    </font>
    <font>
      <sz val="13"/>
      <color theme="1"/>
      <name val="Times New Roman"/>
      <family val="1"/>
    </font>
    <font>
      <b/>
      <i/>
      <sz val="12"/>
      <color rgb="FFC00000"/>
      <name val="Times New Roman"/>
      <family val="1"/>
      <scheme val="major"/>
    </font>
    <font>
      <sz val="12"/>
      <color rgb="FFC00000"/>
      <name val="Times New Roman"/>
      <family val="1"/>
      <scheme val="major"/>
    </font>
    <font>
      <b/>
      <sz val="13"/>
      <color rgb="FFC00000"/>
      <name val="Times New Roman"/>
      <family val="1"/>
    </font>
    <font>
      <b/>
      <sz val="11"/>
      <color theme="0"/>
      <name val="Arial"/>
      <family val="2"/>
      <scheme val="minor"/>
    </font>
    <font>
      <b/>
      <sz val="12"/>
      <color rgb="FFC00000"/>
      <name val="Times New Roman"/>
      <family val="1"/>
      <scheme val="major"/>
    </font>
    <font>
      <sz val="9"/>
      <color indexed="81"/>
      <name val="Tahoma"/>
      <family val="2"/>
    </font>
    <font>
      <b/>
      <sz val="9"/>
      <color indexed="81"/>
      <name val="Tahoma"/>
      <family val="2"/>
    </font>
    <font>
      <sz val="11"/>
      <color theme="1"/>
      <name val="Arial"/>
      <family val="2"/>
      <charset val="163"/>
      <scheme val="minor"/>
    </font>
    <font>
      <b/>
      <sz val="13"/>
      <color rgb="FF7030A0"/>
      <name val="Times New Roman"/>
      <family val="1"/>
    </font>
    <font>
      <i/>
      <sz val="13"/>
      <color theme="1"/>
      <name val="Times New Roman"/>
      <family val="1"/>
    </font>
    <font>
      <b/>
      <sz val="13"/>
      <color theme="0"/>
      <name val="Times New Roman"/>
      <family val="1"/>
    </font>
    <font>
      <sz val="13"/>
      <color theme="0"/>
      <name val="Times New Roman"/>
      <family val="1"/>
    </font>
    <font>
      <i/>
      <sz val="13"/>
      <color theme="0"/>
      <name val="Times New Roman"/>
      <family val="1"/>
    </font>
    <font>
      <sz val="12"/>
      <color theme="0"/>
      <name val="Times New Roman"/>
      <family val="1"/>
      <scheme val="major"/>
    </font>
    <font>
      <b/>
      <sz val="13"/>
      <color rgb="FFFF0000"/>
      <name val="Times New Roman"/>
      <family val="1"/>
    </font>
    <font>
      <b/>
      <sz val="14"/>
      <color theme="1"/>
      <name val="Times New Roman"/>
      <family val="1"/>
    </font>
    <font>
      <b/>
      <sz val="15"/>
      <color theme="1"/>
      <name val="Times New Roman"/>
      <family val="1"/>
    </font>
    <font>
      <sz val="14"/>
      <color theme="1"/>
      <name val="Times New Roman"/>
      <family val="1"/>
    </font>
    <font>
      <b/>
      <i/>
      <sz val="13"/>
      <color theme="1"/>
      <name val="Times New Roman"/>
      <family val="1"/>
    </font>
    <font>
      <b/>
      <sz val="3"/>
      <color theme="1"/>
      <name val="Times New Roman"/>
      <family val="1"/>
    </font>
    <font>
      <b/>
      <i/>
      <sz val="12"/>
      <color theme="1"/>
      <name val="Times New Roman"/>
      <family val="1"/>
    </font>
    <font>
      <sz val="14"/>
      <color theme="1"/>
      <name val=".VnTime"/>
      <family val="2"/>
    </font>
    <font>
      <sz val="1"/>
      <color theme="1"/>
      <name val="Times New Roman"/>
      <family val="1"/>
    </font>
    <font>
      <b/>
      <sz val="6"/>
      <color theme="1"/>
      <name val="Times New Roman"/>
      <family val="1"/>
    </font>
    <font>
      <sz val="12"/>
      <color theme="1"/>
      <name val="Times New Roman"/>
      <family val="1"/>
      <charset val="163"/>
    </font>
    <font>
      <b/>
      <sz val="11"/>
      <color rgb="FFFFFF00"/>
      <name val="Arial"/>
      <family val="2"/>
      <charset val="163"/>
      <scheme val="minor"/>
    </font>
    <font>
      <b/>
      <sz val="12"/>
      <color rgb="FFFFFF00"/>
      <name val="Times New Roman"/>
      <family val="1"/>
    </font>
    <font>
      <b/>
      <sz val="13"/>
      <color rgb="FFFFFF00"/>
      <name val="Times New Roman"/>
      <family val="1"/>
    </font>
    <font>
      <sz val="11"/>
      <color rgb="FFFFFF00"/>
      <name val="Arial"/>
      <family val="2"/>
      <charset val="163"/>
      <scheme val="minor"/>
    </font>
    <font>
      <sz val="12"/>
      <color rgb="FFFFFF00"/>
      <name val="Times New Roman"/>
      <family val="1"/>
    </font>
    <font>
      <b/>
      <sz val="11"/>
      <color rgb="FFFFFF00"/>
      <name val="Times New Roman"/>
      <family val="1"/>
    </font>
    <font>
      <sz val="11"/>
      <color rgb="FFFFFF00"/>
      <name val="Times New Roman"/>
      <family val="1"/>
    </font>
    <font>
      <b/>
      <sz val="12"/>
      <color rgb="FFFFFF00"/>
      <name val="Arial"/>
      <family val="2"/>
      <charset val="163"/>
      <scheme val="minor"/>
    </font>
    <font>
      <sz val="12"/>
      <color rgb="FFFFFF00"/>
      <name val="Arial"/>
      <family val="2"/>
      <charset val="163"/>
      <scheme val="minor"/>
    </font>
    <font>
      <sz val="12"/>
      <color theme="1"/>
      <name val="Arial"/>
      <family val="2"/>
      <charset val="163"/>
      <scheme val="minor"/>
    </font>
    <font>
      <sz val="8"/>
      <color theme="1"/>
      <name val="Times New Roman"/>
      <family val="1"/>
    </font>
    <font>
      <i/>
      <sz val="11"/>
      <color theme="1"/>
      <name val="Times New Roman"/>
      <family val="1"/>
    </font>
    <font>
      <sz val="11"/>
      <color theme="0"/>
      <name val="Arial"/>
      <family val="2"/>
      <charset val="163"/>
      <scheme val="minor"/>
    </font>
    <font>
      <sz val="11"/>
      <color theme="0"/>
      <name val="Arial"/>
      <family val="2"/>
      <scheme val="minor"/>
    </font>
    <font>
      <sz val="13"/>
      <color rgb="FFFF0000"/>
      <name val="Times New Roman"/>
      <family val="1"/>
    </font>
    <font>
      <b/>
      <sz val="13"/>
      <color rgb="FF000000"/>
      <name val="Times New Roman"/>
      <family val="1"/>
    </font>
    <font>
      <sz val="13"/>
      <color rgb="FF000000"/>
      <name val="Times New Roman"/>
      <family val="1"/>
    </font>
    <font>
      <b/>
      <sz val="1"/>
      <color theme="1"/>
      <name val="Times New Roman"/>
      <family val="1"/>
    </font>
    <font>
      <b/>
      <sz val="11"/>
      <color rgb="FFFFFF00"/>
      <name val="Arial"/>
      <family val="2"/>
      <scheme val="minor"/>
    </font>
    <font>
      <sz val="12"/>
      <color rgb="FFFF0000"/>
      <name val="Times New Roman"/>
      <family val="1"/>
      <scheme val="major"/>
    </font>
    <font>
      <b/>
      <i/>
      <sz val="12"/>
      <color theme="1"/>
      <name val="Times New Roman"/>
      <family val="1"/>
      <scheme val="major"/>
    </font>
    <font>
      <b/>
      <sz val="11"/>
      <color theme="0" tint="-0.499984740745262"/>
      <name val="Times New Roman"/>
      <family val="1"/>
      <scheme val="major"/>
    </font>
    <font>
      <b/>
      <sz val="12"/>
      <color theme="0" tint="-0.499984740745262"/>
      <name val="Times New Roman"/>
      <family val="1"/>
      <scheme val="major"/>
    </font>
    <font>
      <b/>
      <sz val="13"/>
      <color rgb="FFC00000"/>
      <name val="Times New Roman"/>
      <family val="1"/>
      <scheme val="major"/>
    </font>
    <font>
      <sz val="13"/>
      <color rgb="FFC00000"/>
      <name val="Times New Roman"/>
      <family val="1"/>
      <scheme val="major"/>
    </font>
    <font>
      <sz val="13"/>
      <color rgb="FFFF0000"/>
      <name val="Times New Roman"/>
      <family val="1"/>
      <scheme val="major"/>
    </font>
    <font>
      <sz val="13"/>
      <color rgb="FF0070C0"/>
      <name val="Times New Roman"/>
      <family val="1"/>
      <scheme val="major"/>
    </font>
  </fonts>
  <fills count="21">
    <fill>
      <patternFill patternType="none"/>
    </fill>
    <fill>
      <patternFill patternType="gray125"/>
    </fill>
    <fill>
      <patternFill patternType="solid">
        <fgColor indexed="9"/>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FFFF"/>
        <bgColor indexed="64"/>
      </patternFill>
    </fill>
    <fill>
      <patternFill patternType="solid">
        <fgColor rgb="FF00B0F0"/>
        <bgColor indexed="64"/>
      </patternFill>
    </fill>
    <fill>
      <patternFill patternType="solid">
        <fgColor rgb="FF00FF99"/>
        <bgColor indexed="64"/>
      </patternFill>
    </fill>
    <fill>
      <patternFill patternType="solid">
        <fgColor theme="0"/>
        <bgColor indexed="64"/>
      </patternFill>
    </fill>
    <fill>
      <patternFill patternType="solid">
        <fgColor rgb="FFFF9900"/>
        <bgColor indexed="64"/>
      </patternFill>
    </fill>
    <fill>
      <patternFill patternType="solid">
        <fgColor rgb="FF00FFFF"/>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3" tint="0.79998168889431442"/>
        <bgColor indexed="64"/>
      </patternFill>
    </fill>
    <fill>
      <patternFill patternType="solid">
        <fgColor rgb="FF92D050"/>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0" tint="-0.499984740745262"/>
        <bgColor indexed="64"/>
      </patternFill>
    </fill>
    <fill>
      <patternFill patternType="solid">
        <fgColor theme="0" tint="-0.249977111117893"/>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ck">
        <color indexed="64"/>
      </right>
      <top/>
      <bottom style="thick">
        <color indexed="64"/>
      </bottom>
      <diagonal/>
    </border>
    <border>
      <left style="thick">
        <color rgb="FFC00000"/>
      </left>
      <right style="thin">
        <color indexed="64"/>
      </right>
      <top style="thin">
        <color indexed="64"/>
      </top>
      <bottom style="thin">
        <color indexed="64"/>
      </bottom>
      <diagonal/>
    </border>
    <border>
      <left style="thick">
        <color rgb="FFC00000"/>
      </left>
      <right/>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16" fillId="0" borderId="0" applyNumberFormat="0" applyFill="0" applyBorder="0" applyAlignment="0" applyProtection="0"/>
    <xf numFmtId="0" fontId="12" fillId="0" borderId="0"/>
    <xf numFmtId="0" fontId="1" fillId="0" borderId="0"/>
    <xf numFmtId="43" fontId="49" fillId="0" borderId="0" applyFont="0" applyFill="0" applyBorder="0" applyAlignment="0" applyProtection="0"/>
    <xf numFmtId="0" fontId="49" fillId="0" borderId="0"/>
  </cellStyleXfs>
  <cellXfs count="526">
    <xf numFmtId="0" fontId="0" fillId="0" borderId="0" xfId="0"/>
    <xf numFmtId="0" fontId="3" fillId="3"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0" xfId="0" applyFont="1" applyAlignment="1">
      <alignment horizontal="center" vertical="center" wrapText="1"/>
    </xf>
    <xf numFmtId="0" fontId="17" fillId="0" borderId="2" xfId="0" applyFont="1" applyBorder="1" applyAlignment="1">
      <alignment horizontal="center" vertical="center"/>
    </xf>
    <xf numFmtId="0" fontId="17" fillId="0" borderId="2" xfId="0" applyFont="1" applyBorder="1" applyAlignment="1">
      <alignment horizontal="center" vertical="center" wrapText="1"/>
    </xf>
    <xf numFmtId="0" fontId="17" fillId="0" borderId="3" xfId="0" applyFont="1" applyBorder="1" applyAlignment="1">
      <alignment horizontal="center" vertical="center"/>
    </xf>
    <xf numFmtId="0" fontId="17" fillId="0" borderId="3" xfId="0" applyFont="1" applyBorder="1" applyAlignment="1">
      <alignment horizontal="center" vertical="center" wrapText="1"/>
    </xf>
    <xf numFmtId="0" fontId="17" fillId="0" borderId="4" xfId="0" applyFont="1" applyBorder="1" applyAlignment="1">
      <alignment horizontal="center" vertical="center"/>
    </xf>
    <xf numFmtId="0" fontId="17" fillId="0" borderId="4" xfId="0" applyFont="1" applyBorder="1" applyAlignment="1">
      <alignment horizontal="center" vertical="center" wrapText="1"/>
    </xf>
    <xf numFmtId="0" fontId="17" fillId="0" borderId="5" xfId="0" applyFont="1" applyBorder="1" applyAlignment="1">
      <alignment horizontal="center" vertical="center"/>
    </xf>
    <xf numFmtId="0" fontId="17" fillId="0" borderId="5" xfId="0" applyFont="1" applyBorder="1" applyAlignment="1">
      <alignment horizontal="center" vertical="center" wrapText="1"/>
    </xf>
    <xf numFmtId="0" fontId="18" fillId="4"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0" xfId="0" applyFont="1" applyFill="1" applyAlignment="1">
      <alignment horizontal="center" vertical="center"/>
    </xf>
    <xf numFmtId="0" fontId="19" fillId="0" borderId="0" xfId="0" applyFont="1" applyAlignment="1">
      <alignment horizontal="center" vertical="center"/>
    </xf>
    <xf numFmtId="0" fontId="19" fillId="0" borderId="0" xfId="0" applyFont="1" applyAlignment="1">
      <alignment horizontal="left" vertical="center"/>
    </xf>
    <xf numFmtId="0" fontId="19" fillId="0" borderId="0" xfId="0" quotePrefix="1" applyFont="1" applyAlignment="1">
      <alignment horizontal="center" vertical="center"/>
    </xf>
    <xf numFmtId="14" fontId="19" fillId="0" borderId="0" xfId="0" applyNumberFormat="1" applyFont="1" applyAlignment="1">
      <alignment horizontal="center" vertical="center"/>
    </xf>
    <xf numFmtId="0" fontId="19" fillId="0" borderId="0" xfId="0" quotePrefix="1" applyFont="1" applyAlignment="1">
      <alignment horizontal="left" vertical="center"/>
    </xf>
    <xf numFmtId="0" fontId="20" fillId="0" borderId="3" xfId="0" applyFont="1" applyBorder="1" applyAlignment="1">
      <alignment horizontal="left" vertical="center" wrapText="1"/>
    </xf>
    <xf numFmtId="0" fontId="21" fillId="0" borderId="3" xfId="0" applyFont="1" applyBorder="1" applyAlignment="1">
      <alignment horizontal="center" vertical="center"/>
    </xf>
    <xf numFmtId="0" fontId="21" fillId="0" borderId="0" xfId="0" applyFont="1" applyAlignment="1">
      <alignment horizontal="center" vertical="center"/>
    </xf>
    <xf numFmtId="14" fontId="21" fillId="0" borderId="3" xfId="0" applyNumberFormat="1" applyFont="1" applyBorder="1" applyAlignment="1">
      <alignment horizontal="center" vertical="center"/>
    </xf>
    <xf numFmtId="0" fontId="22" fillId="0" borderId="0" xfId="0" applyFont="1"/>
    <xf numFmtId="0" fontId="23" fillId="0" borderId="1" xfId="0" applyFont="1" applyBorder="1" applyAlignment="1">
      <alignment vertical="center"/>
    </xf>
    <xf numFmtId="0" fontId="24" fillId="0" borderId="0" xfId="0" applyFont="1"/>
    <xf numFmtId="0" fontId="24" fillId="0" borderId="6" xfId="0" applyFont="1" applyBorder="1" applyAlignment="1">
      <alignment horizontal="center" vertical="center" wrapText="1"/>
    </xf>
    <xf numFmtId="0" fontId="22" fillId="0" borderId="6" xfId="0" applyFont="1" applyBorder="1"/>
    <xf numFmtId="0" fontId="22" fillId="0" borderId="7" xfId="0" applyFont="1" applyBorder="1"/>
    <xf numFmtId="0" fontId="24" fillId="0" borderId="7"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xf numFmtId="0" fontId="22" fillId="0" borderId="9" xfId="0" applyFont="1" applyBorder="1"/>
    <xf numFmtId="0" fontId="22" fillId="0" borderId="0" xfId="0" applyFont="1" applyBorder="1"/>
    <xf numFmtId="0" fontId="24" fillId="0" borderId="0"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10" xfId="0" applyFont="1" applyBorder="1"/>
    <xf numFmtId="0" fontId="23" fillId="0" borderId="11" xfId="0" applyFont="1" applyBorder="1" applyAlignment="1">
      <alignment vertical="center"/>
    </xf>
    <xf numFmtId="0" fontId="23" fillId="0" borderId="6" xfId="0" applyFont="1" applyBorder="1" applyAlignment="1">
      <alignment vertical="center"/>
    </xf>
    <xf numFmtId="0" fontId="25" fillId="0" borderId="12" xfId="0" applyFont="1" applyBorder="1" applyAlignment="1">
      <alignment horizontal="left" vertical="center"/>
    </xf>
    <xf numFmtId="0" fontId="22" fillId="0" borderId="12" xfId="0" applyFont="1" applyBorder="1"/>
    <xf numFmtId="0" fontId="26" fillId="0" borderId="12" xfId="0" applyFont="1" applyBorder="1" applyAlignment="1">
      <alignment horizontal="center"/>
    </xf>
    <xf numFmtId="0" fontId="23" fillId="0" borderId="12" xfId="0" applyFont="1" applyBorder="1" applyAlignment="1">
      <alignment vertical="center"/>
    </xf>
    <xf numFmtId="0" fontId="24" fillId="0" borderId="12" xfId="0" applyFont="1" applyBorder="1" applyAlignment="1">
      <alignment horizontal="center" vertical="center" wrapText="1"/>
    </xf>
    <xf numFmtId="0" fontId="22" fillId="0" borderId="12" xfId="0" applyFont="1" applyBorder="1" applyAlignment="1">
      <alignment horizontal="center" vertical="center" wrapText="1"/>
    </xf>
    <xf numFmtId="0" fontId="25" fillId="0" borderId="13" xfId="0" applyFont="1" applyBorder="1" applyAlignment="1">
      <alignment horizontal="left" vertical="center"/>
    </xf>
    <xf numFmtId="0" fontId="24" fillId="0" borderId="6" xfId="0" applyFont="1" applyBorder="1"/>
    <xf numFmtId="0" fontId="27" fillId="0" borderId="1" xfId="0" applyFont="1" applyBorder="1" applyAlignment="1">
      <alignment horizontal="center" vertical="center" wrapText="1"/>
    </xf>
    <xf numFmtId="0" fontId="5" fillId="0" borderId="0" xfId="0" applyFont="1" applyAlignment="1">
      <alignment horizontal="center" vertical="center" wrapText="1"/>
    </xf>
    <xf numFmtId="0" fontId="20" fillId="0" borderId="0" xfId="0" applyFont="1" applyAlignment="1">
      <alignment horizontal="center" vertical="center"/>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0" fontId="20" fillId="0" borderId="3" xfId="0" applyFont="1" applyBorder="1" applyAlignment="1">
      <alignment horizontal="left" vertical="center"/>
    </xf>
    <xf numFmtId="0" fontId="20" fillId="0" borderId="2" xfId="0" applyFont="1" applyBorder="1" applyAlignment="1">
      <alignment horizontal="center" vertical="center" wrapText="1"/>
    </xf>
    <xf numFmtId="0" fontId="20" fillId="0" borderId="2" xfId="0" applyFont="1" applyBorder="1" applyAlignment="1">
      <alignment horizontal="left" vertical="center" wrapText="1"/>
    </xf>
    <xf numFmtId="0" fontId="20" fillId="0" borderId="4" xfId="0" applyFont="1" applyBorder="1" applyAlignment="1">
      <alignment horizontal="center" vertical="center" wrapText="1"/>
    </xf>
    <xf numFmtId="0" fontId="20" fillId="0" borderId="4" xfId="0" applyFont="1" applyBorder="1" applyAlignment="1">
      <alignment horizontal="left" vertical="center" wrapText="1"/>
    </xf>
    <xf numFmtId="0" fontId="20" fillId="0" borderId="4" xfId="0" applyFont="1" applyBorder="1" applyAlignment="1">
      <alignment horizontal="center" vertical="center"/>
    </xf>
    <xf numFmtId="0" fontId="20" fillId="0" borderId="4" xfId="0" applyFont="1" applyBorder="1" applyAlignment="1">
      <alignment horizontal="left" vertical="center"/>
    </xf>
    <xf numFmtId="0" fontId="20" fillId="0" borderId="5" xfId="0" applyFont="1" applyBorder="1" applyAlignment="1">
      <alignment horizontal="center" vertical="center"/>
    </xf>
    <xf numFmtId="0" fontId="20" fillId="0" borderId="5" xfId="0" applyFont="1" applyBorder="1" applyAlignment="1">
      <alignment horizontal="left" vertical="center"/>
    </xf>
    <xf numFmtId="0" fontId="21" fillId="0" borderId="1" xfId="0" applyFont="1" applyBorder="1" applyAlignment="1">
      <alignment horizontal="center" vertical="center"/>
    </xf>
    <xf numFmtId="0" fontId="21" fillId="0" borderId="1" xfId="0" applyFont="1" applyBorder="1" applyAlignment="1">
      <alignment horizontal="left" vertical="center"/>
    </xf>
    <xf numFmtId="14" fontId="21" fillId="0" borderId="1" xfId="0" applyNumberFormat="1" applyFont="1" applyBorder="1" applyAlignment="1">
      <alignment horizontal="center" vertical="center"/>
    </xf>
    <xf numFmtId="0" fontId="21" fillId="0" borderId="0" xfId="0" applyFont="1" applyAlignment="1">
      <alignment horizontal="left" vertical="center"/>
    </xf>
    <xf numFmtId="0" fontId="28" fillId="0" borderId="2" xfId="0" applyFont="1" applyFill="1" applyBorder="1" applyAlignment="1">
      <alignment horizontal="center" vertical="center" wrapText="1"/>
    </xf>
    <xf numFmtId="0" fontId="17" fillId="0" borderId="0" xfId="0" applyFont="1" applyFill="1" applyAlignment="1">
      <alignment horizontal="left" vertical="center" wrapText="1"/>
    </xf>
    <xf numFmtId="0" fontId="17" fillId="0" borderId="2" xfId="0" applyFont="1" applyFill="1" applyBorder="1" applyAlignment="1">
      <alignment horizontal="left" vertical="center" wrapText="1"/>
    </xf>
    <xf numFmtId="0" fontId="17" fillId="0" borderId="3"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17" fillId="0" borderId="5" xfId="0" applyFont="1" applyFill="1" applyBorder="1" applyAlignment="1">
      <alignment horizontal="left" vertical="center" wrapText="1"/>
    </xf>
    <xf numFmtId="0" fontId="29" fillId="0" borderId="3" xfId="0" applyFont="1" applyFill="1" applyBorder="1" applyAlignment="1">
      <alignment horizontal="left" vertical="center" wrapText="1"/>
    </xf>
    <xf numFmtId="0" fontId="21" fillId="0" borderId="0" xfId="0" applyFont="1" applyBorder="1"/>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0" fillId="5" borderId="1" xfId="0" applyFont="1" applyFill="1" applyBorder="1" applyAlignment="1">
      <alignment horizontal="justify" vertical="center" wrapText="1"/>
    </xf>
    <xf numFmtId="0" fontId="31" fillId="5" borderId="1" xfId="0" applyFont="1" applyFill="1" applyBorder="1" applyAlignment="1">
      <alignment horizontal="justify" vertical="center" wrapText="1"/>
    </xf>
    <xf numFmtId="0" fontId="30" fillId="5" borderId="1"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32" fillId="5" borderId="1" xfId="0" applyFont="1" applyFill="1" applyBorder="1" applyAlignment="1">
      <alignment horizontal="left" vertical="center" wrapText="1"/>
    </xf>
    <xf numFmtId="0" fontId="21" fillId="5" borderId="1" xfId="0" applyFont="1" applyFill="1" applyBorder="1" applyAlignment="1">
      <alignment horizontal="left" vertical="top" wrapText="1"/>
    </xf>
    <xf numFmtId="0" fontId="21" fillId="0" borderId="1" xfId="0" applyFont="1" applyBorder="1"/>
    <xf numFmtId="0" fontId="33" fillId="0" borderId="1" xfId="0" applyFont="1" applyBorder="1"/>
    <xf numFmtId="0" fontId="21" fillId="0" borderId="0" xfId="0" applyFont="1"/>
    <xf numFmtId="0" fontId="34" fillId="5" borderId="1" xfId="0" applyFont="1" applyFill="1" applyBorder="1" applyAlignment="1">
      <alignment horizontal="left" vertical="center" wrapText="1"/>
    </xf>
    <xf numFmtId="0" fontId="22" fillId="0" borderId="0" xfId="0" applyFont="1" applyAlignment="1">
      <alignment horizontal="center" vertical="center"/>
    </xf>
    <xf numFmtId="0" fontId="35" fillId="0" borderId="0" xfId="1" applyFont="1" applyAlignment="1">
      <alignment horizontal="center" vertical="center"/>
    </xf>
    <xf numFmtId="0" fontId="21" fillId="0" borderId="0" xfId="0" applyFont="1" applyAlignment="1">
      <alignment vertical="center"/>
    </xf>
    <xf numFmtId="0" fontId="21" fillId="0" borderId="0" xfId="0" applyFont="1" applyAlignment="1">
      <alignment horizontal="left" vertical="center" wrapText="1"/>
    </xf>
    <xf numFmtId="0" fontId="21" fillId="0" borderId="1" xfId="0" applyFont="1" applyBorder="1" applyAlignment="1">
      <alignment vertical="center"/>
    </xf>
    <xf numFmtId="0" fontId="21" fillId="0" borderId="1" xfId="0" applyFont="1" applyBorder="1" applyAlignment="1">
      <alignment horizontal="left" vertical="center" wrapText="1"/>
    </xf>
    <xf numFmtId="0" fontId="29" fillId="0" borderId="3" xfId="0" applyFont="1" applyBorder="1" applyAlignment="1">
      <alignment horizontal="center" vertical="center" wrapText="1"/>
    </xf>
    <xf numFmtId="0" fontId="2" fillId="3" borderId="1" xfId="0" applyFont="1" applyFill="1" applyBorder="1" applyAlignment="1">
      <alignment horizontal="center" vertical="center" wrapText="1"/>
    </xf>
    <xf numFmtId="0" fontId="36" fillId="0" borderId="0" xfId="0" applyFont="1" applyFill="1" applyBorder="1" applyAlignment="1">
      <alignment horizontal="left" vertical="center"/>
    </xf>
    <xf numFmtId="0" fontId="37" fillId="0" borderId="1" xfId="1" applyFont="1" applyFill="1" applyBorder="1" applyAlignment="1">
      <alignment horizontal="left" vertical="center" wrapText="1"/>
    </xf>
    <xf numFmtId="0" fontId="36" fillId="0" borderId="0" xfId="0" applyFont="1" applyFill="1" applyBorder="1" applyAlignment="1">
      <alignment horizontal="left" vertical="center" wrapText="1"/>
    </xf>
    <xf numFmtId="0" fontId="21" fillId="0" borderId="0" xfId="0" applyFont="1" applyFill="1" applyAlignment="1">
      <alignment horizontal="center" vertical="center"/>
    </xf>
    <xf numFmtId="0" fontId="28" fillId="0" borderId="2" xfId="0" applyFont="1" applyFill="1" applyBorder="1" applyAlignment="1">
      <alignment horizontal="center" vertical="center"/>
    </xf>
    <xf numFmtId="0" fontId="38" fillId="6" borderId="1" xfId="0" applyFont="1" applyFill="1" applyBorder="1" applyAlignment="1">
      <alignment horizontal="center" vertical="center" wrapText="1"/>
    </xf>
    <xf numFmtId="0" fontId="39" fillId="3" borderId="1" xfId="0" applyFont="1" applyFill="1" applyBorder="1" applyAlignment="1">
      <alignment horizontal="center" vertical="center"/>
    </xf>
    <xf numFmtId="0" fontId="39" fillId="3" borderId="1" xfId="0" applyFont="1" applyFill="1" applyBorder="1" applyAlignment="1">
      <alignment horizontal="center" vertical="center" wrapText="1"/>
    </xf>
    <xf numFmtId="0" fontId="40" fillId="0" borderId="0" xfId="0" applyFont="1" applyFill="1" applyBorder="1" applyAlignment="1">
      <alignment horizontal="left" vertical="center"/>
    </xf>
    <xf numFmtId="0" fontId="28" fillId="0" borderId="1" xfId="0" applyFont="1" applyFill="1" applyBorder="1" applyAlignment="1">
      <alignment horizontal="center" vertical="center"/>
    </xf>
    <xf numFmtId="0" fontId="28" fillId="0" borderId="1" xfId="0" applyFont="1" applyFill="1" applyBorder="1" applyAlignment="1">
      <alignment horizontal="left" vertical="center"/>
    </xf>
    <xf numFmtId="0" fontId="28" fillId="0" borderId="13" xfId="0" applyFont="1" applyFill="1" applyBorder="1" applyAlignment="1">
      <alignment horizontal="center" vertical="center"/>
    </xf>
    <xf numFmtId="0" fontId="28" fillId="0" borderId="1" xfId="0" applyFont="1" applyFill="1" applyBorder="1" applyAlignment="1">
      <alignment horizontal="left" vertical="center" wrapText="1"/>
    </xf>
    <xf numFmtId="0" fontId="28" fillId="0" borderId="1" xfId="0" applyFont="1" applyFill="1" applyBorder="1" applyAlignment="1">
      <alignment horizontal="center" vertical="center" wrapText="1"/>
    </xf>
    <xf numFmtId="0" fontId="21" fillId="0" borderId="12" xfId="0" applyFont="1" applyBorder="1" applyAlignment="1">
      <alignment vertical="center" wrapText="1"/>
    </xf>
    <xf numFmtId="0" fontId="21" fillId="0" borderId="14" xfId="0" applyFont="1" applyBorder="1" applyAlignment="1">
      <alignment vertical="center" wrapText="1"/>
    </xf>
    <xf numFmtId="0" fontId="21" fillId="0" borderId="2" xfId="0" applyFont="1" applyBorder="1" applyAlignment="1">
      <alignment horizontal="center" vertical="center"/>
    </xf>
    <xf numFmtId="14" fontId="21" fillId="0" borderId="2" xfId="0" applyNumberFormat="1" applyFont="1" applyBorder="1" applyAlignment="1">
      <alignment horizontal="center" vertical="center"/>
    </xf>
    <xf numFmtId="0" fontId="21" fillId="0" borderId="3" xfId="0" applyFont="1" applyBorder="1" applyAlignment="1">
      <alignment horizontal="left" vertical="center" wrapText="1"/>
    </xf>
    <xf numFmtId="0" fontId="21" fillId="0" borderId="3" xfId="0" quotePrefix="1" applyFont="1" applyBorder="1" applyAlignment="1">
      <alignment horizontal="center" vertical="center"/>
    </xf>
    <xf numFmtId="0" fontId="21" fillId="0" borderId="4" xfId="0" applyFont="1" applyBorder="1" applyAlignment="1">
      <alignment horizontal="center" vertical="center"/>
    </xf>
    <xf numFmtId="0" fontId="21" fillId="0" borderId="4" xfId="0" applyFont="1" applyBorder="1" applyAlignment="1">
      <alignment horizontal="left" vertical="center" wrapText="1"/>
    </xf>
    <xf numFmtId="14" fontId="21" fillId="0" borderId="4" xfId="0" applyNumberFormat="1" applyFont="1" applyBorder="1" applyAlignment="1">
      <alignment horizontal="center" vertical="center"/>
    </xf>
    <xf numFmtId="0" fontId="33" fillId="0" borderId="2" xfId="0" applyFont="1" applyBorder="1" applyAlignment="1">
      <alignment horizontal="left" vertical="center" wrapText="1"/>
    </xf>
    <xf numFmtId="0" fontId="21" fillId="0" borderId="2" xfId="0" applyFont="1" applyBorder="1" applyAlignment="1">
      <alignment horizontal="center" vertical="center" wrapText="1"/>
    </xf>
    <xf numFmtId="0" fontId="28" fillId="0" borderId="2" xfId="0" applyFont="1" applyFill="1" applyBorder="1" applyAlignment="1">
      <alignment horizontal="left" vertical="center"/>
    </xf>
    <xf numFmtId="0" fontId="28" fillId="0" borderId="2" xfId="0" applyFont="1" applyFill="1" applyBorder="1" applyAlignment="1">
      <alignment horizontal="left" vertical="center" wrapText="1"/>
    </xf>
    <xf numFmtId="0" fontId="33" fillId="0" borderId="2" xfId="0" applyFont="1" applyBorder="1" applyAlignment="1">
      <alignment horizontal="center" vertical="center"/>
    </xf>
    <xf numFmtId="0" fontId="0" fillId="0" borderId="0" xfId="0" applyBorder="1"/>
    <xf numFmtId="0" fontId="33" fillId="0" borderId="0" xfId="0" applyFont="1" applyAlignment="1">
      <alignment horizontal="center" vertical="center"/>
    </xf>
    <xf numFmtId="0" fontId="33" fillId="0" borderId="0" xfId="0" applyFont="1" applyAlignment="1">
      <alignment horizontal="left" vertical="center"/>
    </xf>
    <xf numFmtId="0" fontId="25" fillId="0" borderId="6" xfId="0" applyFont="1" applyBorder="1" applyAlignment="1">
      <alignment horizontal="left" vertical="center"/>
    </xf>
    <xf numFmtId="0" fontId="26" fillId="0" borderId="6" xfId="0" applyFont="1" applyBorder="1" applyAlignment="1">
      <alignment horizontal="center"/>
    </xf>
    <xf numFmtId="0" fontId="25" fillId="0" borderId="15" xfId="0" applyFont="1" applyBorder="1" applyAlignment="1">
      <alignment horizontal="left" vertical="center"/>
    </xf>
    <xf numFmtId="0" fontId="23" fillId="0" borderId="0" xfId="0" applyFont="1" applyBorder="1" applyAlignment="1">
      <alignment vertical="center"/>
    </xf>
    <xf numFmtId="0" fontId="23" fillId="0" borderId="7" xfId="0" applyFont="1" applyBorder="1" applyAlignment="1">
      <alignment vertical="center"/>
    </xf>
    <xf numFmtId="0" fontId="26" fillId="0" borderId="6" xfId="0" applyFont="1" applyBorder="1" applyAlignment="1">
      <alignment horizontal="center"/>
    </xf>
    <xf numFmtId="0" fontId="25" fillId="0" borderId="15" xfId="0" applyFont="1" applyBorder="1" applyAlignment="1">
      <alignment horizontal="left" vertical="center"/>
    </xf>
    <xf numFmtId="0" fontId="25" fillId="0" borderId="6" xfId="0" applyFont="1" applyBorder="1" applyAlignment="1">
      <alignment horizontal="left" vertical="center"/>
    </xf>
    <xf numFmtId="0" fontId="38" fillId="7" borderId="1"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40" fillId="0" borderId="0" xfId="0" applyFont="1" applyFill="1" applyBorder="1" applyAlignment="1">
      <alignment horizontal="left" vertical="center" wrapText="1"/>
    </xf>
    <xf numFmtId="0" fontId="40" fillId="0" borderId="0" xfId="0" applyFont="1" applyFill="1" applyBorder="1" applyAlignment="1">
      <alignment horizontal="center" vertical="center" wrapText="1"/>
    </xf>
    <xf numFmtId="14" fontId="40" fillId="0" borderId="0" xfId="0" applyNumberFormat="1" applyFont="1" applyFill="1" applyBorder="1" applyAlignment="1">
      <alignment horizontal="center" vertical="center" wrapText="1"/>
    </xf>
    <xf numFmtId="0" fontId="21" fillId="8" borderId="10" xfId="0" applyFont="1" applyFill="1" applyBorder="1" applyAlignment="1">
      <alignment horizontal="center" vertical="center" wrapText="1"/>
    </xf>
    <xf numFmtId="0" fontId="40" fillId="8" borderId="10" xfId="0" applyFont="1" applyFill="1" applyBorder="1" applyAlignment="1">
      <alignment horizontal="left" vertical="center" wrapText="1"/>
    </xf>
    <xf numFmtId="0" fontId="40" fillId="8" borderId="10" xfId="0" applyFont="1" applyFill="1" applyBorder="1" applyAlignment="1">
      <alignment horizontal="center" vertical="center" wrapText="1"/>
    </xf>
    <xf numFmtId="0" fontId="41" fillId="0" borderId="0" xfId="0" applyFont="1" applyFill="1" applyBorder="1"/>
    <xf numFmtId="0" fontId="13" fillId="0" borderId="0" xfId="0" applyFont="1" applyFill="1" applyBorder="1"/>
    <xf numFmtId="0" fontId="14" fillId="0" borderId="0" xfId="0" applyFont="1" applyFill="1" applyBorder="1"/>
    <xf numFmtId="0" fontId="14" fillId="0" borderId="0" xfId="0" applyFont="1" applyFill="1" applyBorder="1" applyAlignment="1">
      <alignment horizontal="left"/>
    </xf>
    <xf numFmtId="0" fontId="33"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33" fillId="10" borderId="1" xfId="0" applyFont="1" applyFill="1" applyBorder="1" applyAlignment="1">
      <alignment horizontal="center" vertical="center" wrapText="1"/>
    </xf>
    <xf numFmtId="164" fontId="40" fillId="0" borderId="0" xfId="0" applyNumberFormat="1" applyFont="1" applyFill="1" applyBorder="1" applyAlignment="1">
      <alignment horizontal="center" vertical="center" wrapText="1"/>
    </xf>
    <xf numFmtId="14" fontId="21" fillId="0" borderId="0" xfId="0" applyNumberFormat="1" applyFont="1" applyFill="1" applyBorder="1" applyAlignment="1">
      <alignment horizontal="center" vertical="center" wrapText="1"/>
    </xf>
    <xf numFmtId="0" fontId="43" fillId="0" borderId="0" xfId="0" applyFont="1" applyFill="1" applyBorder="1" applyAlignment="1">
      <alignment horizontal="center" vertical="center" wrapText="1"/>
    </xf>
    <xf numFmtId="0" fontId="44" fillId="0" borderId="0" xfId="0" applyFont="1" applyFill="1" applyBorder="1"/>
    <xf numFmtId="0" fontId="33" fillId="0" borderId="18"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12"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33" fillId="12" borderId="1" xfId="0" applyFont="1" applyFill="1" applyBorder="1" applyAlignment="1">
      <alignment horizontal="center" vertical="center" wrapText="1"/>
    </xf>
    <xf numFmtId="0" fontId="33" fillId="6" borderId="1" xfId="0" applyFont="1" applyFill="1" applyBorder="1" applyAlignment="1">
      <alignment horizontal="center" vertical="center" wrapText="1"/>
    </xf>
    <xf numFmtId="0" fontId="40" fillId="6" borderId="0" xfId="0" applyFont="1" applyFill="1" applyBorder="1" applyAlignment="1">
      <alignment horizontal="center" vertical="center" wrapText="1"/>
    </xf>
    <xf numFmtId="0" fontId="21" fillId="6" borderId="0" xfId="0" applyFont="1" applyFill="1" applyBorder="1" applyAlignment="1">
      <alignment horizontal="center" vertical="center" wrapText="1"/>
    </xf>
    <xf numFmtId="0" fontId="33" fillId="10" borderId="11" xfId="0" applyFont="1" applyFill="1" applyBorder="1" applyAlignment="1">
      <alignment horizontal="center" vertical="center" wrapText="1"/>
    </xf>
    <xf numFmtId="0" fontId="21" fillId="12" borderId="21"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40" fillId="0" borderId="22" xfId="0" applyFont="1" applyFill="1" applyBorder="1" applyAlignment="1">
      <alignment horizontal="center" vertical="center" wrapText="1"/>
    </xf>
    <xf numFmtId="0" fontId="33" fillId="13" borderId="1" xfId="0" applyFont="1" applyFill="1" applyBorder="1" applyAlignment="1">
      <alignment horizontal="center" vertical="center" wrapText="1"/>
    </xf>
    <xf numFmtId="0" fontId="46" fillId="14" borderId="1" xfId="0" applyFont="1" applyFill="1" applyBorder="1" applyAlignment="1">
      <alignment horizontal="center" vertical="center" wrapText="1"/>
    </xf>
    <xf numFmtId="0" fontId="21" fillId="11" borderId="0" xfId="0" applyFont="1" applyFill="1" applyBorder="1" applyAlignment="1">
      <alignment horizontal="center" vertical="center" wrapText="1"/>
    </xf>
    <xf numFmtId="0" fontId="40" fillId="11" borderId="0" xfId="0" applyFont="1" applyFill="1" applyBorder="1" applyAlignment="1">
      <alignment horizontal="center" vertical="center" wrapText="1"/>
    </xf>
    <xf numFmtId="0" fontId="45" fillId="6" borderId="20" xfId="1" applyFont="1" applyFill="1" applyBorder="1" applyAlignment="1">
      <alignment horizontal="center" vertical="center" wrapText="1"/>
    </xf>
    <xf numFmtId="43" fontId="21" fillId="0" borderId="0" xfId="4" applyFont="1" applyFill="1" applyBorder="1" applyAlignment="1">
      <alignment horizontal="center" vertical="center" wrapText="1"/>
    </xf>
    <xf numFmtId="43" fontId="21" fillId="0" borderId="0" xfId="0" applyNumberFormat="1" applyFont="1" applyFill="1" applyBorder="1" applyAlignment="1">
      <alignment horizontal="center" vertical="center" wrapText="1"/>
    </xf>
    <xf numFmtId="0" fontId="21" fillId="0" borderId="0" xfId="0" quotePrefix="1" applyFont="1" applyFill="1" applyBorder="1" applyAlignment="1">
      <alignment horizontal="center" vertical="center" wrapText="1"/>
    </xf>
    <xf numFmtId="0" fontId="43" fillId="6" borderId="0"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40" fillId="0" borderId="3" xfId="0" applyFont="1" applyFill="1" applyBorder="1" applyAlignment="1">
      <alignment horizontal="left" vertical="center" wrapText="1"/>
    </xf>
    <xf numFmtId="0" fontId="40" fillId="0" borderId="3" xfId="0" applyFont="1" applyFill="1" applyBorder="1" applyAlignment="1">
      <alignment horizontal="center" vertical="center" wrapText="1"/>
    </xf>
    <xf numFmtId="14" fontId="21" fillId="0" borderId="3" xfId="0" applyNumberFormat="1" applyFont="1" applyFill="1" applyBorder="1" applyAlignment="1">
      <alignment horizontal="center" vertical="center" wrapText="1"/>
    </xf>
    <xf numFmtId="165" fontId="21" fillId="0" borderId="3" xfId="0" applyNumberFormat="1" applyFont="1" applyFill="1" applyBorder="1" applyAlignment="1">
      <alignment horizontal="center" vertical="center" wrapText="1"/>
    </xf>
    <xf numFmtId="0" fontId="33" fillId="15" borderId="1" xfId="0" applyFont="1" applyFill="1" applyBorder="1" applyAlignment="1">
      <alignment horizontal="center" vertical="center" wrapText="1"/>
    </xf>
    <xf numFmtId="0" fontId="33" fillId="16" borderId="1"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42" fillId="0" borderId="13" xfId="0" applyFont="1" applyFill="1" applyBorder="1" applyAlignment="1">
      <alignment horizontal="center" vertical="center" wrapText="1"/>
    </xf>
    <xf numFmtId="0" fontId="46" fillId="13" borderId="0" xfId="0" applyFont="1" applyFill="1" applyBorder="1" applyAlignment="1">
      <alignment horizontal="center" vertical="center" wrapText="1"/>
    </xf>
    <xf numFmtId="0" fontId="0" fillId="6" borderId="0" xfId="0" applyFill="1" applyAlignment="1">
      <alignment horizontal="center" vertical="center"/>
    </xf>
    <xf numFmtId="0" fontId="0" fillId="17" borderId="0" xfId="0" applyFill="1" applyAlignment="1">
      <alignment horizontal="center" vertical="center"/>
    </xf>
    <xf numFmtId="0" fontId="0" fillId="6" borderId="15" xfId="0" applyFill="1" applyBorder="1" applyAlignment="1">
      <alignment horizontal="center" vertical="center"/>
    </xf>
    <xf numFmtId="0" fontId="0" fillId="8" borderId="15" xfId="0" applyFill="1" applyBorder="1" applyAlignment="1">
      <alignment horizontal="center" vertical="center"/>
    </xf>
    <xf numFmtId="0" fontId="0" fillId="8" borderId="23" xfId="0" applyFill="1" applyBorder="1" applyAlignment="1">
      <alignment horizontal="center" vertical="center"/>
    </xf>
    <xf numFmtId="0" fontId="0" fillId="8" borderId="19" xfId="0" applyFill="1" applyBorder="1" applyAlignment="1">
      <alignment horizontal="center" vertical="center"/>
    </xf>
    <xf numFmtId="0" fontId="0" fillId="6" borderId="23" xfId="0" applyFill="1" applyBorder="1" applyAlignment="1">
      <alignment horizontal="center" vertical="center"/>
    </xf>
    <xf numFmtId="0" fontId="0" fillId="6" borderId="6" xfId="0" applyFill="1" applyBorder="1" applyAlignment="1">
      <alignment horizontal="center" vertical="center"/>
    </xf>
    <xf numFmtId="0" fontId="0" fillId="6" borderId="0" xfId="0" applyFill="1" applyBorder="1" applyAlignment="1">
      <alignment horizontal="center" vertical="center"/>
    </xf>
    <xf numFmtId="0" fontId="0" fillId="6" borderId="8" xfId="0" applyFill="1" applyBorder="1" applyAlignment="1">
      <alignment horizontal="center" vertical="center"/>
    </xf>
    <xf numFmtId="0" fontId="0" fillId="8" borderId="8" xfId="0" applyFill="1" applyBorder="1" applyAlignment="1">
      <alignment horizontal="left" vertical="top"/>
    </xf>
    <xf numFmtId="0" fontId="25" fillId="8" borderId="10" xfId="0" applyFont="1" applyFill="1" applyBorder="1" applyAlignment="1">
      <alignment horizontal="left" vertical="center"/>
    </xf>
    <xf numFmtId="0" fontId="0" fillId="8" borderId="10" xfId="0" applyFill="1" applyBorder="1" applyAlignment="1">
      <alignment horizontal="center" vertical="center"/>
    </xf>
    <xf numFmtId="0" fontId="0" fillId="8" borderId="9" xfId="0" applyFill="1" applyBorder="1" applyAlignment="1">
      <alignment horizontal="center" vertical="center"/>
    </xf>
    <xf numFmtId="0" fontId="0" fillId="6" borderId="10" xfId="0" applyFill="1" applyBorder="1" applyAlignment="1">
      <alignment horizontal="center" vertical="center"/>
    </xf>
    <xf numFmtId="0" fontId="25" fillId="8" borderId="1" xfId="0" applyFont="1" applyFill="1" applyBorder="1" applyAlignment="1">
      <alignment horizontal="center" vertical="center"/>
    </xf>
    <xf numFmtId="0" fontId="51" fillId="8" borderId="1" xfId="0" applyFont="1" applyFill="1" applyBorder="1" applyAlignment="1">
      <alignment horizontal="center" vertical="center"/>
    </xf>
    <xf numFmtId="0" fontId="0" fillId="8" borderId="1" xfId="0" applyFill="1" applyBorder="1" applyAlignment="1">
      <alignment horizontal="center" vertical="center"/>
    </xf>
    <xf numFmtId="0" fontId="21" fillId="8" borderId="1" xfId="5" applyFont="1" applyFill="1" applyBorder="1" applyAlignment="1">
      <alignment horizontal="center" vertical="center" wrapText="1"/>
    </xf>
    <xf numFmtId="0" fontId="0" fillId="8" borderId="0" xfId="0" applyFill="1" applyBorder="1" applyAlignment="1">
      <alignment horizontal="center" vertical="center"/>
    </xf>
    <xf numFmtId="0" fontId="21" fillId="8" borderId="0" xfId="5" applyFont="1" applyFill="1" applyBorder="1" applyAlignment="1">
      <alignment horizontal="center" vertical="center" wrapText="1"/>
    </xf>
    <xf numFmtId="0" fontId="52" fillId="8" borderId="0" xfId="0" applyFont="1" applyFill="1" applyBorder="1" applyAlignment="1">
      <alignment horizontal="left" vertical="center"/>
    </xf>
    <xf numFmtId="0" fontId="53" fillId="8" borderId="0" xfId="0" applyFont="1" applyFill="1" applyBorder="1" applyAlignment="1">
      <alignment horizontal="center" vertical="center"/>
    </xf>
    <xf numFmtId="0" fontId="52" fillId="8" borderId="0" xfId="0" applyFont="1" applyFill="1" applyBorder="1" applyAlignment="1">
      <alignment horizontal="center" vertical="center"/>
    </xf>
    <xf numFmtId="0" fontId="54" fillId="8" borderId="0" xfId="0" applyFont="1" applyFill="1" applyBorder="1" applyAlignment="1">
      <alignment horizontal="center" vertical="center"/>
    </xf>
    <xf numFmtId="0" fontId="55" fillId="8" borderId="0" xfId="5" applyFont="1" applyFill="1" applyBorder="1" applyAlignment="1">
      <alignment horizontal="center" vertical="center" wrapText="1"/>
    </xf>
    <xf numFmtId="0" fontId="0" fillId="11" borderId="0" xfId="0" applyFill="1" applyAlignment="1">
      <alignment horizontal="center" vertical="center"/>
    </xf>
    <xf numFmtId="0" fontId="25" fillId="8" borderId="0" xfId="0" applyFont="1" applyFill="1" applyBorder="1" applyAlignment="1">
      <alignment horizontal="center" vertical="center"/>
    </xf>
    <xf numFmtId="0" fontId="51" fillId="8" borderId="0" xfId="0" applyFont="1" applyFill="1" applyBorder="1" applyAlignment="1">
      <alignment horizontal="center" vertical="center"/>
    </xf>
    <xf numFmtId="43" fontId="21" fillId="0" borderId="0" xfId="4" quotePrefix="1" applyFont="1" applyFill="1" applyBorder="1" applyAlignment="1">
      <alignment horizontal="center" vertical="center" wrapText="1"/>
    </xf>
    <xf numFmtId="0" fontId="0" fillId="8" borderId="1" xfId="0" applyFill="1" applyBorder="1" applyAlignment="1">
      <alignment horizontal="center" vertical="center" wrapText="1"/>
    </xf>
    <xf numFmtId="0" fontId="0" fillId="0" borderId="0" xfId="0" applyAlignment="1">
      <alignment horizontal="left"/>
    </xf>
    <xf numFmtId="0" fontId="51" fillId="0" borderId="0" xfId="0" applyFont="1" applyAlignment="1">
      <alignment horizontal="left" vertical="center"/>
    </xf>
    <xf numFmtId="0" fontId="57" fillId="0" borderId="0" xfId="0" applyFont="1" applyAlignment="1">
      <alignment horizontal="left" vertical="center"/>
    </xf>
    <xf numFmtId="0" fontId="59" fillId="0" borderId="0" xfId="0" applyFont="1" applyAlignment="1">
      <alignment horizontal="left" vertical="center"/>
    </xf>
    <xf numFmtId="0" fontId="25" fillId="0" borderId="0" xfId="0" applyFont="1" applyAlignment="1">
      <alignment horizontal="left" vertical="center"/>
    </xf>
    <xf numFmtId="0" fontId="41" fillId="0" borderId="0" xfId="0" applyFont="1" applyAlignment="1">
      <alignment horizontal="left" vertical="center"/>
    </xf>
    <xf numFmtId="0" fontId="60" fillId="0" borderId="0" xfId="0" applyFont="1" applyAlignment="1">
      <alignment horizontal="left" vertical="center"/>
    </xf>
    <xf numFmtId="0" fontId="61" fillId="0" borderId="0" xfId="0" applyFont="1" applyAlignment="1">
      <alignment horizontal="left" vertical="center"/>
    </xf>
    <xf numFmtId="0" fontId="62"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0" xfId="0" applyFont="1" applyAlignment="1">
      <alignment horizontal="left"/>
    </xf>
    <xf numFmtId="0" fontId="25" fillId="0" borderId="0" xfId="0" applyFont="1" applyAlignment="1">
      <alignment vertical="center"/>
    </xf>
    <xf numFmtId="0" fontId="0" fillId="0" borderId="0" xfId="0" applyAlignment="1">
      <alignment horizontal="left" vertical="top"/>
    </xf>
    <xf numFmtId="0" fontId="25" fillId="0" borderId="1" xfId="0" applyFont="1" applyBorder="1" applyAlignment="1">
      <alignment horizontal="center" vertical="center"/>
    </xf>
    <xf numFmtId="0" fontId="41" fillId="0" borderId="1" xfId="0" applyFont="1" applyBorder="1" applyAlignment="1">
      <alignment horizontal="center" vertical="center"/>
    </xf>
    <xf numFmtId="0" fontId="25"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41" fillId="0" borderId="0" xfId="0" applyFont="1" applyAlignment="1">
      <alignment horizontal="left"/>
    </xf>
    <xf numFmtId="0" fontId="41" fillId="0" borderId="0" xfId="0" quotePrefix="1" applyFont="1" applyAlignment="1">
      <alignment horizontal="left" vertical="center"/>
    </xf>
    <xf numFmtId="0" fontId="27" fillId="0" borderId="0" xfId="0" applyFont="1" applyAlignment="1">
      <alignment horizontal="center" vertical="center"/>
    </xf>
    <xf numFmtId="0" fontId="63" fillId="0" borderId="0" xfId="0" applyFont="1" applyAlignment="1">
      <alignment horizontal="left" vertical="center"/>
    </xf>
    <xf numFmtId="0" fontId="64" fillId="0" borderId="0" xfId="0" applyFont="1" applyAlignment="1">
      <alignment horizontal="left" vertical="center"/>
    </xf>
    <xf numFmtId="0" fontId="65" fillId="0" borderId="0" xfId="0" applyFont="1" applyAlignment="1">
      <alignment horizontal="left" vertical="center"/>
    </xf>
    <xf numFmtId="0" fontId="27" fillId="0" borderId="1" xfId="0" applyFont="1" applyBorder="1" applyAlignment="1">
      <alignment horizontal="center" vertical="center"/>
    </xf>
    <xf numFmtId="0" fontId="51" fillId="0" borderId="1" xfId="0" applyFont="1" applyBorder="1" applyAlignment="1">
      <alignment horizontal="left" vertical="center"/>
    </xf>
    <xf numFmtId="0" fontId="0" fillId="0" borderId="1" xfId="0" applyBorder="1" applyAlignment="1">
      <alignment horizontal="left"/>
    </xf>
    <xf numFmtId="0" fontId="41" fillId="0" borderId="1" xfId="0" applyFont="1" applyBorder="1" applyAlignment="1">
      <alignment horizontal="left" vertical="center"/>
    </xf>
    <xf numFmtId="0" fontId="0" fillId="0" borderId="0" xfId="0" applyBorder="1" applyAlignment="1">
      <alignment horizontal="left"/>
    </xf>
    <xf numFmtId="0" fontId="66" fillId="0" borderId="1" xfId="0" applyFont="1" applyBorder="1" applyAlignment="1">
      <alignment horizontal="center" vertical="center"/>
    </xf>
    <xf numFmtId="0" fontId="23" fillId="0" borderId="0" xfId="0" applyFont="1" applyAlignment="1">
      <alignment horizontal="left"/>
    </xf>
    <xf numFmtId="0" fontId="23" fillId="0" borderId="0" xfId="0" applyFont="1" applyAlignment="1">
      <alignment horizontal="left" vertical="center"/>
    </xf>
    <xf numFmtId="0" fontId="67" fillId="0" borderId="0" xfId="0" applyFont="1" applyAlignment="1">
      <alignment horizontal="center" vertical="center"/>
    </xf>
    <xf numFmtId="0" fontId="67" fillId="13" borderId="0" xfId="0" applyFont="1" applyFill="1" applyAlignment="1">
      <alignment horizontal="center" vertical="center"/>
    </xf>
    <xf numFmtId="0" fontId="68" fillId="0" borderId="0" xfId="0" applyFont="1" applyAlignment="1">
      <alignment horizontal="center" vertical="center"/>
    </xf>
    <xf numFmtId="0" fontId="70" fillId="0" borderId="0" xfId="0" applyFont="1"/>
    <xf numFmtId="0" fontId="70" fillId="0" borderId="0" xfId="0" applyFont="1" applyAlignment="1">
      <alignment horizontal="left"/>
    </xf>
    <xf numFmtId="0" fontId="71" fillId="0" borderId="0" xfId="0" applyFont="1" applyAlignment="1">
      <alignment horizontal="left"/>
    </xf>
    <xf numFmtId="0" fontId="72" fillId="0" borderId="0" xfId="0" applyFont="1" applyAlignment="1">
      <alignment horizontal="center" vertical="center"/>
    </xf>
    <xf numFmtId="0" fontId="73" fillId="0" borderId="0" xfId="0" applyFont="1" applyAlignment="1">
      <alignment horizontal="left"/>
    </xf>
    <xf numFmtId="0" fontId="17" fillId="0" borderId="0" xfId="0" applyFont="1" applyAlignment="1">
      <alignment horizontal="left"/>
    </xf>
    <xf numFmtId="0" fontId="16" fillId="0" borderId="0" xfId="1" applyFill="1" applyBorder="1" applyAlignment="1">
      <alignment horizontal="center" vertical="center" wrapText="1"/>
    </xf>
    <xf numFmtId="0" fontId="41" fillId="0" borderId="0" xfId="0" applyFont="1" applyAlignment="1">
      <alignment horizontal="left" vertical="center"/>
    </xf>
    <xf numFmtId="0" fontId="18" fillId="0" borderId="0" xfId="0" applyFont="1" applyAlignment="1">
      <alignment horizontal="center" vertical="center"/>
    </xf>
    <xf numFmtId="0" fontId="27" fillId="0" borderId="0" xfId="0" applyFont="1" applyAlignment="1">
      <alignment horizontal="center" vertical="center"/>
    </xf>
    <xf numFmtId="0" fontId="27" fillId="0" borderId="0" xfId="0" applyFont="1" applyAlignment="1">
      <alignment horizontal="right" vertical="center"/>
    </xf>
    <xf numFmtId="0" fontId="41" fillId="0" borderId="0" xfId="0" applyFont="1" applyAlignment="1">
      <alignment horizontal="left" vertical="center"/>
    </xf>
    <xf numFmtId="0" fontId="51" fillId="0" borderId="0" xfId="0" applyFont="1" applyAlignment="1">
      <alignment horizontal="center" vertical="center"/>
    </xf>
    <xf numFmtId="0" fontId="25" fillId="0" borderId="1" xfId="0" applyFont="1" applyBorder="1" applyAlignment="1">
      <alignment horizontal="center" vertical="center" wrapText="1"/>
    </xf>
    <xf numFmtId="0" fontId="0" fillId="0" borderId="0" xfId="0" applyFont="1" applyAlignment="1">
      <alignment horizontal="left"/>
    </xf>
    <xf numFmtId="0" fontId="0" fillId="0" borderId="0" xfId="0" applyFont="1"/>
    <xf numFmtId="0" fontId="74" fillId="0" borderId="0" xfId="0" applyFont="1" applyAlignment="1">
      <alignment horizontal="center" vertical="center"/>
    </xf>
    <xf numFmtId="0" fontId="75" fillId="0" borderId="0" xfId="0" applyFont="1" applyAlignment="1">
      <alignment horizontal="left"/>
    </xf>
    <xf numFmtId="0" fontId="76" fillId="0" borderId="0" xfId="0" applyFont="1" applyAlignment="1">
      <alignment horizontal="left"/>
    </xf>
    <xf numFmtId="0" fontId="41" fillId="0" borderId="0" xfId="0" applyFont="1" applyAlignment="1">
      <alignment horizontal="left" vertical="center"/>
    </xf>
    <xf numFmtId="0" fontId="51" fillId="0" borderId="0" xfId="0" applyFont="1" applyAlignment="1">
      <alignment horizontal="center" vertical="center"/>
    </xf>
    <xf numFmtId="0" fontId="40" fillId="0" borderId="0" xfId="0" quotePrefix="1" applyFont="1" applyFill="1" applyBorder="1" applyAlignment="1">
      <alignment horizontal="left" vertical="center" wrapText="1"/>
    </xf>
    <xf numFmtId="0" fontId="77" fillId="0" borderId="0" xfId="0" applyFont="1" applyAlignment="1">
      <alignment horizontal="left" vertical="center"/>
    </xf>
    <xf numFmtId="0" fontId="62" fillId="0" borderId="0" xfId="0" applyFont="1" applyAlignment="1">
      <alignment horizontal="left" vertical="center"/>
    </xf>
    <xf numFmtId="0" fontId="78" fillId="0" borderId="0" xfId="0" applyFont="1" applyAlignment="1">
      <alignment horizontal="left" vertical="center"/>
    </xf>
    <xf numFmtId="0" fontId="25" fillId="0" borderId="0" xfId="0" applyFont="1" applyAlignment="1">
      <alignment vertical="top"/>
    </xf>
    <xf numFmtId="0" fontId="51" fillId="0" borderId="0" xfId="0" applyFont="1" applyAlignment="1">
      <alignment horizontal="left" vertical="center"/>
    </xf>
    <xf numFmtId="0" fontId="0" fillId="0" borderId="0" xfId="0" applyAlignment="1">
      <alignment wrapText="1"/>
    </xf>
    <xf numFmtId="0" fontId="67" fillId="0" borderId="0" xfId="0" applyFont="1" applyFill="1" applyAlignment="1">
      <alignment horizontal="center" vertical="center"/>
    </xf>
    <xf numFmtId="0" fontId="0" fillId="0" borderId="0" xfId="0" applyFill="1"/>
    <xf numFmtId="0" fontId="68" fillId="0" borderId="0" xfId="0" applyFont="1" applyFill="1" applyAlignment="1">
      <alignment horizontal="center" vertical="center"/>
    </xf>
    <xf numFmtId="0" fontId="69" fillId="0" borderId="0" xfId="0" applyFont="1" applyFill="1" applyAlignment="1">
      <alignment horizontal="center" vertical="center"/>
    </xf>
    <xf numFmtId="0" fontId="45" fillId="0" borderId="1" xfId="1" applyFont="1" applyBorder="1" applyAlignment="1">
      <alignment horizontal="center" vertical="center"/>
    </xf>
    <xf numFmtId="0" fontId="45" fillId="0" borderId="0" xfId="0" applyFont="1" applyBorder="1" applyAlignment="1">
      <alignment horizontal="center" vertical="center"/>
    </xf>
    <xf numFmtId="0" fontId="45" fillId="0" borderId="13" xfId="0" applyFont="1" applyBorder="1" applyAlignment="1">
      <alignment horizontal="center" vertical="center"/>
    </xf>
    <xf numFmtId="0" fontId="45" fillId="0" borderId="13" xfId="1" applyFont="1" applyBorder="1" applyAlignment="1">
      <alignment horizontal="center" vertical="center"/>
    </xf>
    <xf numFmtId="0" fontId="27" fillId="0" borderId="0" xfId="0" applyFont="1" applyBorder="1" applyAlignment="1">
      <alignment horizontal="center" vertical="center"/>
    </xf>
    <xf numFmtId="0" fontId="27" fillId="0" borderId="0" xfId="0" applyFont="1" applyBorder="1" applyAlignment="1">
      <alignment horizontal="right" vertical="center"/>
    </xf>
    <xf numFmtId="0" fontId="80" fillId="0" borderId="0" xfId="0" applyFont="1" applyBorder="1" applyAlignment="1">
      <alignment horizontal="center" vertical="center"/>
    </xf>
    <xf numFmtId="0" fontId="45" fillId="0" borderId="0" xfId="0" applyFont="1"/>
    <xf numFmtId="0" fontId="45" fillId="0" borderId="0" xfId="0" applyFont="1" applyBorder="1"/>
    <xf numFmtId="0" fontId="80" fillId="0" borderId="0" xfId="1" applyFont="1" applyAlignment="1">
      <alignment horizontal="center" vertical="center"/>
    </xf>
    <xf numFmtId="0" fontId="80" fillId="0" borderId="0" xfId="0" applyFont="1" applyBorder="1"/>
    <xf numFmtId="0" fontId="80" fillId="0" borderId="0" xfId="1" applyFont="1" applyBorder="1" applyAlignment="1">
      <alignment horizontal="center" vertical="center"/>
    </xf>
    <xf numFmtId="0" fontId="80" fillId="0" borderId="0" xfId="0" applyFont="1" applyFill="1" applyAlignment="1">
      <alignment horizontal="center" vertical="center"/>
    </xf>
    <xf numFmtId="0" fontId="80" fillId="0" borderId="0" xfId="0" applyFont="1" applyAlignment="1">
      <alignment horizontal="left"/>
    </xf>
    <xf numFmtId="0" fontId="80" fillId="0" borderId="0" xfId="0" applyFont="1" applyFill="1" applyAlignment="1">
      <alignment horizontal="left"/>
    </xf>
    <xf numFmtId="0" fontId="79" fillId="0" borderId="0" xfId="1" applyFont="1" applyAlignment="1">
      <alignment horizontal="center"/>
    </xf>
    <xf numFmtId="0" fontId="79" fillId="0" borderId="0" xfId="1" applyFont="1" applyAlignment="1">
      <alignment horizontal="center" vertical="center"/>
    </xf>
    <xf numFmtId="0" fontId="81" fillId="0" borderId="0" xfId="0" applyFont="1" applyAlignment="1">
      <alignment horizontal="left" vertical="center"/>
    </xf>
    <xf numFmtId="0" fontId="82" fillId="0" borderId="1" xfId="0" applyFont="1" applyBorder="1" applyAlignment="1">
      <alignment horizontal="center" vertical="center" wrapText="1"/>
    </xf>
    <xf numFmtId="0" fontId="83" fillId="0" borderId="1" xfId="0" applyFont="1" applyBorder="1" applyAlignment="1">
      <alignment horizontal="center" vertical="center" wrapText="1"/>
    </xf>
    <xf numFmtId="0" fontId="83" fillId="0" borderId="0" xfId="0" applyFont="1" applyAlignment="1">
      <alignment horizontal="left" vertical="center"/>
    </xf>
    <xf numFmtId="0" fontId="84" fillId="0" borderId="0" xfId="0" applyFont="1" applyAlignment="1">
      <alignment horizontal="left" vertical="center"/>
    </xf>
    <xf numFmtId="0" fontId="85" fillId="0" borderId="0" xfId="0" applyFont="1" applyFill="1"/>
    <xf numFmtId="0" fontId="21" fillId="15"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86" fillId="0" borderId="0" xfId="0" applyFont="1" applyFill="1" applyBorder="1" applyAlignment="1">
      <alignment horizontal="center" vertical="center" wrapText="1"/>
    </xf>
    <xf numFmtId="0" fontId="33" fillId="0" borderId="1" xfId="0" applyFont="1" applyFill="1" applyBorder="1" applyAlignment="1">
      <alignment vertical="center" wrapText="1"/>
    </xf>
    <xf numFmtId="0" fontId="40" fillId="0" borderId="0" xfId="0" applyFont="1" applyAlignment="1">
      <alignment horizontal="center" vertical="center"/>
    </xf>
    <xf numFmtId="0" fontId="0" fillId="0" borderId="0" xfId="0" applyAlignment="1">
      <alignment horizontal="center" vertical="center"/>
    </xf>
    <xf numFmtId="43" fontId="21" fillId="11" borderId="0" xfId="0" applyNumberFormat="1" applyFont="1" applyFill="1" applyBorder="1" applyAlignment="1">
      <alignment horizontal="center" vertical="center" wrapText="1"/>
    </xf>
    <xf numFmtId="43" fontId="21" fillId="0" borderId="3" xfId="4" applyFont="1" applyFill="1" applyBorder="1" applyAlignment="1">
      <alignment horizontal="center" vertical="center" wrapText="1"/>
    </xf>
    <xf numFmtId="0" fontId="33" fillId="18" borderId="1" xfId="0" applyFont="1" applyFill="1" applyBorder="1" applyAlignment="1">
      <alignment horizontal="center" vertical="center" wrapText="1"/>
    </xf>
    <xf numFmtId="0" fontId="41" fillId="0" borderId="0" xfId="0" applyFont="1" applyAlignment="1">
      <alignment horizontal="left" vertical="center"/>
    </xf>
    <xf numFmtId="0" fontId="40" fillId="0" borderId="10" xfId="0" applyFont="1" applyFill="1" applyBorder="1" applyAlignment="1">
      <alignment horizontal="left" vertical="center" wrapText="1"/>
    </xf>
    <xf numFmtId="0" fontId="21" fillId="0" borderId="2" xfId="0" applyFont="1" applyFill="1" applyBorder="1" applyAlignment="1">
      <alignment horizontal="center" vertical="center" wrapText="1"/>
    </xf>
    <xf numFmtId="0" fontId="40" fillId="0" borderId="2" xfId="0" applyFont="1" applyFill="1" applyBorder="1" applyAlignment="1">
      <alignment horizontal="left" vertical="center" wrapText="1"/>
    </xf>
    <xf numFmtId="0" fontId="40" fillId="0" borderId="2" xfId="0" applyFont="1" applyFill="1" applyBorder="1" applyAlignment="1">
      <alignment horizontal="center" vertical="center" wrapText="1"/>
    </xf>
    <xf numFmtId="14" fontId="21" fillId="0" borderId="2" xfId="0" applyNumberFormat="1" applyFont="1" applyFill="1" applyBorder="1" applyAlignment="1">
      <alignment horizontal="center" vertical="center" wrapText="1"/>
    </xf>
    <xf numFmtId="165" fontId="21" fillId="0" borderId="2" xfId="0" applyNumberFormat="1" applyFont="1" applyFill="1" applyBorder="1" applyAlignment="1">
      <alignment horizontal="center" vertical="center" wrapText="1"/>
    </xf>
    <xf numFmtId="43" fontId="20" fillId="0" borderId="1" xfId="4" applyFont="1" applyBorder="1" applyAlignment="1">
      <alignment horizontal="center" vertical="center"/>
    </xf>
    <xf numFmtId="0" fontId="21" fillId="6" borderId="11" xfId="0" applyFont="1" applyFill="1" applyBorder="1" applyAlignment="1">
      <alignment horizontal="center" vertical="center" wrapText="1"/>
    </xf>
    <xf numFmtId="0" fontId="87" fillId="0" borderId="1" xfId="0" applyFont="1" applyFill="1" applyBorder="1" applyAlignment="1">
      <alignment horizontal="center" vertical="center" wrapText="1"/>
    </xf>
    <xf numFmtId="2" fontId="87" fillId="0" borderId="1" xfId="0" applyNumberFormat="1" applyFont="1" applyFill="1" applyBorder="1" applyAlignment="1">
      <alignment horizontal="center" vertical="center" wrapText="1"/>
    </xf>
    <xf numFmtId="43" fontId="43" fillId="0" borderId="0" xfId="4" applyFont="1" applyFill="1" applyBorder="1" applyAlignment="1">
      <alignment horizontal="center" vertical="center" wrapText="1"/>
    </xf>
    <xf numFmtId="0" fontId="88" fillId="19" borderId="1" xfId="0" applyFont="1" applyFill="1" applyBorder="1" applyAlignment="1">
      <alignment horizontal="center" vertical="center" wrapText="1"/>
    </xf>
    <xf numFmtId="0" fontId="89" fillId="19" borderId="1" xfId="0" applyFont="1" applyFill="1" applyBorder="1" applyAlignment="1">
      <alignment horizontal="center" vertical="center" wrapText="1"/>
    </xf>
    <xf numFmtId="0" fontId="89" fillId="19" borderId="18" xfId="0" applyFont="1" applyFill="1" applyBorder="1" applyAlignment="1">
      <alignment horizontal="center" vertical="center" wrapText="1"/>
    </xf>
    <xf numFmtId="173" fontId="41" fillId="0" borderId="1" xfId="4" applyNumberFormat="1" applyFont="1" applyBorder="1" applyAlignment="1">
      <alignment horizontal="center" vertical="center"/>
    </xf>
    <xf numFmtId="0" fontId="41" fillId="0" borderId="0" xfId="0" applyFont="1" applyAlignment="1">
      <alignment horizontal="left" vertical="center"/>
    </xf>
    <xf numFmtId="0" fontId="33" fillId="3" borderId="1"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23" fillId="20" borderId="0" xfId="0" applyFont="1" applyFill="1" applyAlignment="1">
      <alignment horizontal="center" vertical="center"/>
    </xf>
    <xf numFmtId="0" fontId="24" fillId="20" borderId="0" xfId="0" applyFont="1" applyFill="1" applyAlignment="1">
      <alignment horizontal="center" vertical="center"/>
    </xf>
    <xf numFmtId="0" fontId="23" fillId="20" borderId="0" xfId="0" applyFont="1" applyFill="1" applyAlignment="1">
      <alignment horizontal="left" vertical="center"/>
    </xf>
    <xf numFmtId="0" fontId="23" fillId="12" borderId="0" xfId="0" applyFont="1" applyFill="1" applyAlignment="1">
      <alignment horizontal="center" vertical="center"/>
    </xf>
    <xf numFmtId="0" fontId="21" fillId="0" borderId="10"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9" xfId="0" applyFont="1" applyFill="1" applyBorder="1" applyAlignment="1">
      <alignment horizontal="center" vertical="center" wrapText="1"/>
    </xf>
    <xf numFmtId="0" fontId="38" fillId="6" borderId="13" xfId="0" applyFont="1" applyFill="1" applyBorder="1" applyAlignment="1">
      <alignment horizontal="center" vertical="center" wrapText="1"/>
    </xf>
    <xf numFmtId="0" fontId="38" fillId="9" borderId="13" xfId="0" applyFont="1" applyFill="1" applyBorder="1" applyAlignment="1">
      <alignment horizontal="center" vertical="center" wrapText="1"/>
    </xf>
    <xf numFmtId="0" fontId="33" fillId="10" borderId="13" xfId="0" applyFont="1" applyFill="1" applyBorder="1" applyAlignment="1">
      <alignment horizontal="center" vertical="center" wrapText="1"/>
    </xf>
    <xf numFmtId="0" fontId="45" fillId="0" borderId="0" xfId="0" applyFont="1" applyAlignment="1">
      <alignment horizontal="center" vertical="center"/>
    </xf>
    <xf numFmtId="14" fontId="21" fillId="0" borderId="10" xfId="0" applyNumberFormat="1" applyFont="1" applyFill="1" applyBorder="1" applyAlignment="1">
      <alignment horizontal="center" vertical="center" wrapText="1"/>
    </xf>
    <xf numFmtId="0" fontId="41" fillId="0" borderId="0" xfId="0" applyFont="1" applyAlignment="1">
      <alignment horizontal="left" vertical="center"/>
    </xf>
    <xf numFmtId="0" fontId="41" fillId="0" borderId="0" xfId="0" applyFont="1" applyAlignment="1">
      <alignment horizontal="left" vertical="center"/>
    </xf>
    <xf numFmtId="0" fontId="41" fillId="0" borderId="0" xfId="0" quotePrefix="1" applyFont="1" applyAlignment="1">
      <alignment horizontal="left" vertical="center" wrapText="1"/>
    </xf>
    <xf numFmtId="0" fontId="21" fillId="0" borderId="5" xfId="0" applyFont="1" applyFill="1" applyBorder="1" applyAlignment="1">
      <alignment horizontal="center" vertical="center" wrapText="1"/>
    </xf>
    <xf numFmtId="0" fontId="40" fillId="0" borderId="5" xfId="0" applyFont="1" applyFill="1" applyBorder="1" applyAlignment="1">
      <alignment horizontal="left" vertical="center" wrapText="1"/>
    </xf>
    <xf numFmtId="0" fontId="40" fillId="0" borderId="5" xfId="0" applyFont="1" applyFill="1" applyBorder="1" applyAlignment="1">
      <alignment horizontal="center" vertical="center" wrapText="1"/>
    </xf>
    <xf numFmtId="14" fontId="21" fillId="0" borderId="5" xfId="0" applyNumberFormat="1" applyFont="1" applyFill="1" applyBorder="1" applyAlignment="1">
      <alignment horizontal="center" vertical="center" wrapText="1"/>
    </xf>
    <xf numFmtId="165" fontId="21" fillId="0" borderId="5" xfId="0" applyNumberFormat="1" applyFont="1" applyFill="1" applyBorder="1" applyAlignment="1">
      <alignment horizontal="center" vertical="center" wrapText="1"/>
    </xf>
    <xf numFmtId="0" fontId="21" fillId="0" borderId="4" xfId="0" applyFont="1" applyFill="1" applyBorder="1" applyAlignment="1">
      <alignment horizontal="center" vertical="center" wrapText="1"/>
    </xf>
    <xf numFmtId="0" fontId="40" fillId="0" borderId="4" xfId="0" applyFont="1" applyFill="1" applyBorder="1" applyAlignment="1">
      <alignment horizontal="left" vertical="center" wrapText="1"/>
    </xf>
    <xf numFmtId="0" fontId="40" fillId="0" borderId="4" xfId="0" applyFont="1" applyFill="1" applyBorder="1" applyAlignment="1">
      <alignment horizontal="center" vertical="center" wrapText="1"/>
    </xf>
    <xf numFmtId="14" fontId="21" fillId="0" borderId="4" xfId="0" applyNumberFormat="1" applyFont="1" applyFill="1" applyBorder="1" applyAlignment="1">
      <alignment horizontal="center" vertical="center" wrapText="1"/>
    </xf>
    <xf numFmtId="165" fontId="21" fillId="0" borderId="4" xfId="0" applyNumberFormat="1" applyFont="1" applyFill="1" applyBorder="1" applyAlignment="1">
      <alignment horizontal="center" vertical="center" wrapText="1"/>
    </xf>
    <xf numFmtId="0" fontId="39" fillId="0" borderId="0" xfId="0" applyFont="1" applyAlignment="1">
      <alignment horizontal="center" vertical="center"/>
    </xf>
    <xf numFmtId="0" fontId="41" fillId="0" borderId="0" xfId="0" quotePrefix="1" applyFont="1" applyAlignment="1">
      <alignment horizontal="left" vertical="center"/>
    </xf>
    <xf numFmtId="0" fontId="40" fillId="0" borderId="10" xfId="0" applyFont="1" applyFill="1" applyBorder="1" applyAlignment="1">
      <alignment horizontal="center" vertical="center" wrapText="1"/>
    </xf>
    <xf numFmtId="164" fontId="40" fillId="0" borderId="10" xfId="0" applyNumberFormat="1" applyFont="1" applyFill="1" applyBorder="1" applyAlignment="1">
      <alignment horizontal="center" vertical="center" wrapText="1"/>
    </xf>
    <xf numFmtId="0" fontId="21" fillId="0" borderId="10" xfId="0" quotePrefix="1" applyFont="1" applyFill="1" applyBorder="1" applyAlignment="1">
      <alignment horizontal="center" vertical="center" wrapText="1"/>
    </xf>
    <xf numFmtId="0" fontId="41" fillId="0" borderId="0" xfId="0" applyFont="1" applyAlignment="1">
      <alignment horizontal="left" vertical="center"/>
    </xf>
    <xf numFmtId="0" fontId="41" fillId="0" borderId="0" xfId="0" quotePrefix="1" applyFont="1" applyAlignment="1">
      <alignment horizontal="left" vertical="center"/>
    </xf>
    <xf numFmtId="0" fontId="24" fillId="6" borderId="24" xfId="0" applyFont="1" applyFill="1" applyBorder="1" applyAlignment="1">
      <alignment horizontal="center" vertical="center"/>
    </xf>
    <xf numFmtId="0" fontId="24" fillId="6" borderId="25" xfId="0" applyFont="1" applyFill="1" applyBorder="1" applyAlignment="1">
      <alignment horizontal="center" vertical="center"/>
    </xf>
    <xf numFmtId="0" fontId="90" fillId="6" borderId="25" xfId="0" applyFont="1" applyFill="1" applyBorder="1" applyAlignment="1">
      <alignment horizontal="center" vertical="center"/>
    </xf>
    <xf numFmtId="0" fontId="24" fillId="13" borderId="25" xfId="0" applyFont="1" applyFill="1" applyBorder="1" applyAlignment="1">
      <alignment horizontal="center" vertical="center"/>
    </xf>
    <xf numFmtId="0" fontId="23" fillId="6" borderId="25" xfId="0" applyFont="1" applyFill="1" applyBorder="1" applyAlignment="1">
      <alignment horizontal="center" vertical="center"/>
    </xf>
    <xf numFmtId="0" fontId="24" fillId="6" borderId="26" xfId="0" applyFont="1" applyFill="1" applyBorder="1" applyAlignment="1">
      <alignment horizontal="center" vertical="center"/>
    </xf>
    <xf numFmtId="0" fontId="91" fillId="8" borderId="28" xfId="0" applyFont="1" applyFill="1" applyBorder="1" applyAlignment="1">
      <alignment horizontal="center" vertical="center"/>
    </xf>
    <xf numFmtId="0" fontId="23" fillId="8" borderId="2" xfId="0" applyFont="1" applyFill="1" applyBorder="1" applyAlignment="1">
      <alignment horizontal="center" vertical="center"/>
    </xf>
    <xf numFmtId="2" fontId="92" fillId="8" borderId="2" xfId="0" applyNumberFormat="1" applyFont="1" applyFill="1" applyBorder="1" applyAlignment="1">
      <alignment horizontal="center" vertical="center"/>
    </xf>
    <xf numFmtId="2" fontId="23" fillId="8" borderId="2" xfId="0" applyNumberFormat="1" applyFont="1" applyFill="1" applyBorder="1" applyAlignment="1">
      <alignment horizontal="center" vertical="center"/>
    </xf>
    <xf numFmtId="0" fontId="23" fillId="8" borderId="3" xfId="0" applyFont="1" applyFill="1" applyBorder="1" applyAlignment="1">
      <alignment horizontal="center" vertical="center"/>
    </xf>
    <xf numFmtId="0" fontId="23" fillId="8" borderId="29" xfId="0" applyFont="1" applyFill="1" applyBorder="1" applyAlignment="1">
      <alignment horizontal="center" vertical="center"/>
    </xf>
    <xf numFmtId="0" fontId="91" fillId="8" borderId="30" xfId="0" applyFont="1" applyFill="1" applyBorder="1" applyAlignment="1">
      <alignment horizontal="center" vertical="center"/>
    </xf>
    <xf numFmtId="2" fontId="23" fillId="8" borderId="3" xfId="0" applyNumberFormat="1" applyFont="1" applyFill="1" applyBorder="1" applyAlignment="1">
      <alignment horizontal="center" vertical="center"/>
    </xf>
    <xf numFmtId="0" fontId="23" fillId="8" borderId="31" xfId="0" applyFont="1" applyFill="1" applyBorder="1" applyAlignment="1">
      <alignment horizontal="center" vertical="center"/>
    </xf>
    <xf numFmtId="0" fontId="91" fillId="8" borderId="32" xfId="0" applyFont="1" applyFill="1" applyBorder="1" applyAlignment="1">
      <alignment horizontal="center" vertical="center"/>
    </xf>
    <xf numFmtId="0" fontId="23" fillId="8" borderId="33" xfId="0" applyFont="1" applyFill="1" applyBorder="1" applyAlignment="1">
      <alignment horizontal="center" vertical="center"/>
    </xf>
    <xf numFmtId="2" fontId="23" fillId="8" borderId="33" xfId="0" applyNumberFormat="1" applyFont="1" applyFill="1" applyBorder="1" applyAlignment="1">
      <alignment horizontal="center" vertical="center"/>
    </xf>
    <xf numFmtId="0" fontId="23" fillId="8" borderId="34" xfId="0" applyFont="1" applyFill="1" applyBorder="1" applyAlignment="1">
      <alignment horizontal="center" vertical="center"/>
    </xf>
    <xf numFmtId="0" fontId="24" fillId="12" borderId="24" xfId="0" applyFont="1" applyFill="1" applyBorder="1" applyAlignment="1">
      <alignment horizontal="center" vertical="center"/>
    </xf>
    <xf numFmtId="0" fontId="90" fillId="12" borderId="25" xfId="0" applyFont="1" applyFill="1" applyBorder="1" applyAlignment="1">
      <alignment horizontal="center" vertical="center"/>
    </xf>
    <xf numFmtId="0" fontId="24" fillId="12" borderId="25" xfId="0" applyFont="1" applyFill="1" applyBorder="1" applyAlignment="1">
      <alignment horizontal="center" vertical="center"/>
    </xf>
    <xf numFmtId="0" fontId="23" fillId="12" borderId="25" xfId="0" applyFont="1" applyFill="1" applyBorder="1" applyAlignment="1">
      <alignment horizontal="center" vertical="center"/>
    </xf>
    <xf numFmtId="0" fontId="23" fillId="12" borderId="26" xfId="0" applyFont="1" applyFill="1" applyBorder="1" applyAlignment="1">
      <alignment horizontal="center" vertical="center"/>
    </xf>
    <xf numFmtId="0" fontId="93" fillId="8" borderId="28" xfId="0" applyFont="1" applyFill="1" applyBorder="1" applyAlignment="1">
      <alignment horizontal="center" vertical="center" wrapText="1"/>
    </xf>
    <xf numFmtId="0" fontId="93" fillId="8" borderId="30" xfId="0" applyFont="1" applyFill="1" applyBorder="1" applyAlignment="1">
      <alignment horizontal="center" vertical="center" wrapText="1"/>
    </xf>
    <xf numFmtId="0" fontId="93" fillId="8" borderId="32" xfId="0" applyFont="1" applyFill="1" applyBorder="1" applyAlignment="1">
      <alignment horizontal="center" vertical="center" wrapText="1"/>
    </xf>
    <xf numFmtId="0" fontId="23" fillId="8" borderId="0" xfId="0" applyFont="1" applyFill="1" applyAlignment="1">
      <alignment horizontal="center" vertical="center"/>
    </xf>
    <xf numFmtId="0" fontId="24" fillId="8" borderId="41" xfId="0" applyFont="1" applyFill="1" applyBorder="1" applyAlignment="1">
      <alignment horizontal="center" vertical="center"/>
    </xf>
    <xf numFmtId="0" fontId="24" fillId="8" borderId="1" xfId="0" applyFont="1" applyFill="1" applyBorder="1" applyAlignment="1">
      <alignment horizontal="center" vertical="center"/>
    </xf>
    <xf numFmtId="0" fontId="24" fillId="8" borderId="42" xfId="0" applyFont="1" applyFill="1" applyBorder="1" applyAlignment="1">
      <alignment horizontal="center" vertical="center"/>
    </xf>
    <xf numFmtId="0" fontId="23" fillId="8" borderId="43" xfId="0" applyFont="1" applyFill="1" applyBorder="1" applyAlignment="1">
      <alignment horizontal="center" vertical="center"/>
    </xf>
    <xf numFmtId="0" fontId="23" fillId="8" borderId="47" xfId="0" applyFont="1" applyFill="1" applyBorder="1" applyAlignment="1">
      <alignment horizontal="center" vertical="center"/>
    </xf>
    <xf numFmtId="0" fontId="23" fillId="8" borderId="48" xfId="0" applyFont="1" applyFill="1" applyBorder="1" applyAlignment="1">
      <alignment horizontal="center" vertical="center"/>
    </xf>
    <xf numFmtId="0" fontId="23" fillId="8" borderId="41" xfId="0" applyFont="1" applyFill="1" applyBorder="1" applyAlignment="1">
      <alignment horizontal="center" vertical="center"/>
    </xf>
    <xf numFmtId="43" fontId="66" fillId="0" borderId="1" xfId="4" applyFont="1" applyBorder="1" applyAlignment="1">
      <alignment horizontal="center" vertical="center"/>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6" fillId="0" borderId="0" xfId="0" applyFont="1" applyAlignment="1">
      <alignment horizontal="center" vertical="center"/>
    </xf>
    <xf numFmtId="0" fontId="21" fillId="0" borderId="1" xfId="0" applyFont="1" applyBorder="1" applyAlignment="1">
      <alignment vertical="center"/>
    </xf>
    <xf numFmtId="0" fontId="21" fillId="0" borderId="13" xfId="0" applyFont="1" applyBorder="1" applyAlignment="1">
      <alignment horizontal="left" vertical="center"/>
    </xf>
    <xf numFmtId="0" fontId="21" fillId="0" borderId="14" xfId="0" applyFont="1" applyBorder="1" applyAlignment="1">
      <alignment horizontal="left" vertical="center"/>
    </xf>
    <xf numFmtId="0" fontId="21" fillId="0" borderId="12" xfId="0" applyFont="1" applyBorder="1" applyAlignment="1">
      <alignment horizontal="left" vertical="center"/>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18" fillId="0" borderId="13"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0" xfId="0" applyFont="1" applyBorder="1" applyAlignment="1">
      <alignment horizontal="center" vertical="center"/>
    </xf>
    <xf numFmtId="0" fontId="2" fillId="0" borderId="11"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0" fillId="5" borderId="1" xfId="0" applyFont="1" applyFill="1" applyBorder="1" applyAlignment="1">
      <alignment horizontal="justify" vertical="center" wrapText="1"/>
    </xf>
    <xf numFmtId="0" fontId="31" fillId="5" borderId="1" xfId="0" applyFont="1" applyFill="1" applyBorder="1" applyAlignment="1">
      <alignment horizontal="justify" vertical="center" wrapText="1"/>
    </xf>
    <xf numFmtId="0" fontId="31" fillId="5" borderId="1" xfId="0" applyFont="1" applyFill="1" applyBorder="1" applyAlignment="1">
      <alignment horizontal="center" vertical="center" wrapText="1"/>
    </xf>
    <xf numFmtId="0" fontId="31" fillId="5" borderId="1" xfId="0" applyFont="1" applyFill="1" applyBorder="1" applyAlignment="1">
      <alignment horizontal="left" vertical="center" wrapText="1"/>
    </xf>
    <xf numFmtId="0" fontId="32" fillId="5" borderId="1" xfId="0" applyFont="1" applyFill="1" applyBorder="1" applyAlignment="1">
      <alignment horizontal="left" vertical="center" wrapText="1"/>
    </xf>
    <xf numFmtId="0" fontId="30" fillId="5" borderId="1" xfId="0" applyFont="1" applyFill="1" applyBorder="1" applyAlignment="1">
      <alignment horizontal="center" vertical="center" wrapText="1"/>
    </xf>
    <xf numFmtId="0" fontId="34" fillId="5" borderId="1" xfId="0" applyFont="1" applyFill="1" applyBorder="1" applyAlignment="1">
      <alignment horizontal="left" vertical="center" wrapText="1"/>
    </xf>
    <xf numFmtId="0" fontId="13" fillId="2" borderId="0" xfId="2" quotePrefix="1" applyFont="1" applyFill="1" applyBorder="1" applyAlignment="1">
      <alignment horizontal="left" vertical="center" wrapText="1"/>
    </xf>
    <xf numFmtId="0" fontId="0" fillId="0" borderId="0" xfId="0" applyBorder="1" applyAlignment="1">
      <alignment horizontal="left" vertical="center" wrapText="1"/>
    </xf>
    <xf numFmtId="0" fontId="23" fillId="0" borderId="11" xfId="0" applyFont="1" applyBorder="1" applyAlignment="1">
      <alignment horizontal="left" vertical="center"/>
    </xf>
    <xf numFmtId="0" fontId="23" fillId="0" borderId="18" xfId="0" applyFont="1" applyBorder="1" applyAlignment="1">
      <alignment horizontal="left" vertical="center"/>
    </xf>
    <xf numFmtId="0" fontId="25" fillId="0" borderId="15" xfId="0" applyFont="1" applyBorder="1" applyAlignment="1">
      <alignment horizontal="left" vertical="center"/>
    </xf>
    <xf numFmtId="0" fontId="25" fillId="0" borderId="19" xfId="0" applyFont="1" applyBorder="1" applyAlignment="1">
      <alignment horizontal="left" vertical="center"/>
    </xf>
    <xf numFmtId="0" fontId="25" fillId="0" borderId="6" xfId="0" applyFont="1" applyBorder="1" applyAlignment="1">
      <alignment horizontal="left" vertical="center"/>
    </xf>
    <xf numFmtId="0" fontId="25" fillId="0" borderId="7" xfId="0" applyFont="1" applyBorder="1" applyAlignment="1">
      <alignment horizontal="left" vertical="center"/>
    </xf>
    <xf numFmtId="0" fontId="26" fillId="0" borderId="6" xfId="0" applyFont="1" applyBorder="1" applyAlignment="1">
      <alignment horizontal="center"/>
    </xf>
    <xf numFmtId="0" fontId="26" fillId="0" borderId="7" xfId="0" applyFont="1" applyBorder="1" applyAlignment="1">
      <alignment horizontal="center"/>
    </xf>
    <xf numFmtId="0" fontId="90" fillId="8" borderId="27" xfId="0" applyFont="1" applyFill="1" applyBorder="1" applyAlignment="1">
      <alignment horizontal="center" vertical="center"/>
    </xf>
    <xf numFmtId="0" fontId="90" fillId="8" borderId="35" xfId="0" applyFont="1" applyFill="1" applyBorder="1" applyAlignment="1">
      <alignment horizontal="center" vertical="center"/>
    </xf>
    <xf numFmtId="0" fontId="90" fillId="8" borderId="36" xfId="0" applyFont="1" applyFill="1" applyBorder="1" applyAlignment="1">
      <alignment horizontal="center" vertical="center"/>
    </xf>
    <xf numFmtId="0" fontId="90" fillId="8" borderId="37" xfId="0" applyFont="1" applyFill="1" applyBorder="1" applyAlignment="1">
      <alignment horizontal="center" vertical="center"/>
    </xf>
    <xf numFmtId="0" fontId="90" fillId="8" borderId="38" xfId="0" applyFont="1" applyFill="1" applyBorder="1" applyAlignment="1">
      <alignment horizontal="center" vertical="center"/>
    </xf>
    <xf numFmtId="0" fontId="90" fillId="8" borderId="39" xfId="0" applyFont="1" applyFill="1" applyBorder="1" applyAlignment="1">
      <alignment horizontal="center" vertical="center"/>
    </xf>
    <xf numFmtId="0" fontId="90" fillId="8" borderId="40" xfId="0" applyFont="1" applyFill="1" applyBorder="1" applyAlignment="1">
      <alignment horizontal="center" vertical="center"/>
    </xf>
    <xf numFmtId="0" fontId="24" fillId="6" borderId="11" xfId="0" applyFont="1" applyFill="1" applyBorder="1" applyAlignment="1">
      <alignment horizontal="center" vertical="center"/>
    </xf>
    <xf numFmtId="0" fontId="24" fillId="6" borderId="18" xfId="0" applyFont="1" applyFill="1" applyBorder="1" applyAlignment="1">
      <alignment horizontal="center" vertical="center"/>
    </xf>
    <xf numFmtId="0" fontId="23" fillId="8" borderId="44" xfId="0" applyFont="1" applyFill="1" applyBorder="1" applyAlignment="1">
      <alignment horizontal="center" vertical="center"/>
    </xf>
    <xf numFmtId="0" fontId="23" fillId="8" borderId="45" xfId="0" applyFont="1" applyFill="1" applyBorder="1" applyAlignment="1">
      <alignment horizontal="center" vertical="center"/>
    </xf>
    <xf numFmtId="0" fontId="24" fillId="12" borderId="11" xfId="0" applyFont="1" applyFill="1" applyBorder="1" applyAlignment="1">
      <alignment horizontal="center" vertical="center"/>
    </xf>
    <xf numFmtId="0" fontId="24" fillId="12" borderId="17" xfId="0" applyFont="1" applyFill="1" applyBorder="1" applyAlignment="1">
      <alignment horizontal="center" vertical="center"/>
    </xf>
    <xf numFmtId="0" fontId="24" fillId="12" borderId="18" xfId="0" applyFont="1" applyFill="1" applyBorder="1" applyAlignment="1">
      <alignment horizontal="center" vertical="center"/>
    </xf>
    <xf numFmtId="0" fontId="23" fillId="8" borderId="46" xfId="0" applyFont="1" applyFill="1" applyBorder="1" applyAlignment="1">
      <alignment horizontal="center" vertical="center"/>
    </xf>
    <xf numFmtId="0" fontId="24" fillId="8" borderId="11" xfId="0" applyFont="1" applyFill="1" applyBorder="1" applyAlignment="1">
      <alignment horizontal="center" vertical="center"/>
    </xf>
    <xf numFmtId="0" fontId="24" fillId="8" borderId="18" xfId="0" applyFont="1" applyFill="1" applyBorder="1" applyAlignment="1">
      <alignment horizontal="center" vertical="center"/>
    </xf>
    <xf numFmtId="0" fontId="24" fillId="8" borderId="17" xfId="0" applyFont="1" applyFill="1" applyBorder="1" applyAlignment="1">
      <alignment horizontal="center" vertical="center"/>
    </xf>
    <xf numFmtId="0" fontId="33" fillId="0" borderId="1" xfId="0" applyFont="1" applyFill="1" applyBorder="1" applyAlignment="1">
      <alignment horizontal="center" vertical="center" wrapText="1"/>
    </xf>
    <xf numFmtId="0" fontId="28" fillId="13" borderId="0" xfId="0" applyFont="1" applyFill="1" applyBorder="1" applyAlignment="1">
      <alignment horizontal="center" vertical="center" wrapText="1"/>
    </xf>
    <xf numFmtId="0" fontId="57" fillId="0" borderId="0" xfId="0" applyFont="1" applyAlignment="1">
      <alignment horizontal="center" vertical="center"/>
    </xf>
    <xf numFmtId="0" fontId="60" fillId="0" borderId="0" xfId="0" applyFont="1" applyAlignment="1">
      <alignment horizontal="center" vertical="center"/>
    </xf>
    <xf numFmtId="0" fontId="58" fillId="0" borderId="0" xfId="0" applyFont="1" applyAlignment="1">
      <alignment horizontal="center" vertical="center"/>
    </xf>
    <xf numFmtId="0" fontId="41" fillId="0" borderId="0" xfId="0" applyFont="1" applyAlignment="1">
      <alignment horizontal="left" vertical="center" wrapText="1"/>
    </xf>
    <xf numFmtId="0" fontId="41" fillId="0" borderId="0" xfId="0" applyFont="1" applyAlignment="1">
      <alignment horizontal="left" vertical="center"/>
    </xf>
    <xf numFmtId="0" fontId="41" fillId="0" borderId="0" xfId="0" applyFont="1" applyBorder="1" applyAlignment="1">
      <alignment horizontal="center" vertical="center"/>
    </xf>
    <xf numFmtId="0" fontId="25" fillId="0" borderId="0" xfId="0" applyFont="1" applyBorder="1" applyAlignment="1">
      <alignment horizontal="center" vertical="center"/>
    </xf>
    <xf numFmtId="0" fontId="57" fillId="0" borderId="0" xfId="0" applyFont="1" applyBorder="1" applyAlignment="1">
      <alignment horizontal="center" vertical="center"/>
    </xf>
    <xf numFmtId="0" fontId="25" fillId="0" borderId="0" xfId="0" applyFont="1" applyAlignment="1">
      <alignment horizontal="center" vertical="center"/>
    </xf>
    <xf numFmtId="0" fontId="51" fillId="0" borderId="0" xfId="0" applyFont="1" applyAlignment="1">
      <alignment horizontal="center" vertical="center"/>
    </xf>
    <xf numFmtId="0" fontId="27" fillId="0" borderId="0" xfId="0" applyFont="1" applyAlignment="1">
      <alignment horizontal="center" vertical="center"/>
    </xf>
    <xf numFmtId="0" fontId="27" fillId="0" borderId="0" xfId="0" applyFont="1" applyAlignment="1">
      <alignment horizontal="right" vertical="center"/>
    </xf>
    <xf numFmtId="0" fontId="41" fillId="0" borderId="0" xfId="0" applyFont="1" applyAlignment="1">
      <alignment horizontal="center" vertical="center"/>
    </xf>
    <xf numFmtId="0" fontId="20" fillId="0" borderId="1" xfId="0" applyFont="1" applyBorder="1" applyAlignment="1">
      <alignment horizontal="left" vertical="center"/>
    </xf>
    <xf numFmtId="0" fontId="20" fillId="0" borderId="1" xfId="0" quotePrefix="1" applyFont="1" applyBorder="1" applyAlignment="1">
      <alignment horizontal="left" vertical="center" wrapText="1"/>
    </xf>
    <xf numFmtId="0" fontId="51" fillId="0" borderId="0" xfId="0" applyFont="1" applyAlignment="1">
      <alignment horizontal="left"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41" fillId="0" borderId="1" xfId="0" applyFont="1" applyBorder="1" applyAlignment="1">
      <alignment horizontal="left" vertical="center" wrapText="1"/>
    </xf>
    <xf numFmtId="0" fontId="25" fillId="0" borderId="11" xfId="0" applyFont="1" applyBorder="1" applyAlignment="1">
      <alignment horizontal="left" vertical="center"/>
    </xf>
    <xf numFmtId="0" fontId="25" fillId="0" borderId="17" xfId="0" applyFont="1" applyBorder="1" applyAlignment="1">
      <alignment horizontal="left" vertical="center"/>
    </xf>
    <xf numFmtId="0" fontId="25" fillId="0" borderId="18" xfId="0" applyFont="1" applyBorder="1" applyAlignment="1">
      <alignment horizontal="left" vertical="center"/>
    </xf>
    <xf numFmtId="0" fontId="51" fillId="0" borderId="0" xfId="0" applyFont="1" applyAlignment="1">
      <alignment horizontal="right" vertical="center"/>
    </xf>
    <xf numFmtId="0" fontId="25" fillId="0" borderId="1" xfId="0" applyFont="1" applyBorder="1" applyAlignment="1">
      <alignment horizontal="left" vertical="center"/>
    </xf>
    <xf numFmtId="0" fontId="41" fillId="0" borderId="1" xfId="0" applyFont="1" applyBorder="1" applyAlignment="1">
      <alignment horizontal="left" vertical="center"/>
    </xf>
    <xf numFmtId="0" fontId="62" fillId="0" borderId="1" xfId="0" applyFont="1" applyBorder="1" applyAlignment="1">
      <alignment horizontal="center" vertical="center" wrapText="1"/>
    </xf>
    <xf numFmtId="0" fontId="18" fillId="0" borderId="1" xfId="0" applyFont="1" applyBorder="1" applyAlignment="1">
      <alignment horizontal="left" vertical="center" wrapText="1"/>
    </xf>
    <xf numFmtId="0" fontId="25" fillId="0" borderId="11" xfId="0" applyFont="1" applyBorder="1" applyAlignment="1">
      <alignment horizontal="left" vertical="center" wrapText="1"/>
    </xf>
    <xf numFmtId="0" fontId="25" fillId="0" borderId="17" xfId="0" applyFont="1" applyBorder="1" applyAlignment="1">
      <alignment horizontal="left" vertical="center" wrapText="1"/>
    </xf>
    <xf numFmtId="0" fontId="25" fillId="0" borderId="18" xfId="0" applyFont="1" applyBorder="1" applyAlignment="1">
      <alignment horizontal="left" vertical="center" wrapText="1"/>
    </xf>
    <xf numFmtId="0" fontId="25" fillId="0" borderId="1" xfId="0" applyFont="1" applyBorder="1" applyAlignment="1">
      <alignment horizontal="left" vertical="center" wrapText="1"/>
    </xf>
    <xf numFmtId="0" fontId="27" fillId="0" borderId="0" xfId="0" applyFont="1" applyBorder="1" applyAlignment="1">
      <alignment horizontal="right" vertical="center"/>
    </xf>
    <xf numFmtId="0" fontId="27" fillId="0" borderId="0" xfId="0" applyFont="1" applyAlignment="1">
      <alignment horizontal="center" vertical="center" wrapText="1"/>
    </xf>
    <xf numFmtId="0" fontId="27" fillId="0" borderId="1" xfId="0" applyFont="1" applyBorder="1" applyAlignment="1">
      <alignment horizontal="center" vertical="center"/>
    </xf>
    <xf numFmtId="0" fontId="18" fillId="0" borderId="0" xfId="0" applyFont="1" applyAlignment="1">
      <alignment horizontal="center" vertical="center" wrapText="1"/>
    </xf>
    <xf numFmtId="0" fontId="18" fillId="0" borderId="0" xfId="0" applyFont="1" applyAlignment="1">
      <alignment horizontal="center" vertical="center"/>
    </xf>
    <xf numFmtId="0" fontId="60" fillId="0" borderId="0" xfId="0" applyFont="1" applyAlignment="1">
      <alignment horizontal="center" vertical="center" wrapText="1"/>
    </xf>
    <xf numFmtId="0" fontId="18" fillId="0" borderId="0" xfId="0" applyFont="1" applyAlignment="1">
      <alignment horizontal="right" vertical="center"/>
    </xf>
    <xf numFmtId="0" fontId="41" fillId="0" borderId="0" xfId="0" quotePrefix="1" applyFont="1" applyAlignment="1">
      <alignment horizontal="left" vertical="center" wrapText="1"/>
    </xf>
    <xf numFmtId="0" fontId="41" fillId="0" borderId="0" xfId="0" quotePrefix="1" applyFont="1" applyAlignment="1">
      <alignment horizontal="left" vertical="center"/>
    </xf>
    <xf numFmtId="0" fontId="83" fillId="0" borderId="1" xfId="0" applyFont="1" applyBorder="1" applyAlignment="1">
      <alignment horizontal="center" vertical="center" wrapText="1"/>
    </xf>
    <xf numFmtId="0" fontId="41" fillId="0" borderId="0" xfId="0" applyFont="1" applyAlignment="1">
      <alignment horizontal="center" vertical="center" wrapText="1"/>
    </xf>
    <xf numFmtId="0" fontId="58" fillId="0" borderId="0" xfId="0" applyFont="1" applyAlignment="1">
      <alignment horizontal="center" vertical="center" wrapText="1"/>
    </xf>
    <xf numFmtId="0" fontId="82" fillId="0" borderId="1" xfId="0" applyFont="1" applyBorder="1" applyAlignment="1">
      <alignment horizontal="center" vertical="center" wrapText="1"/>
    </xf>
    <xf numFmtId="0" fontId="56" fillId="8" borderId="10" xfId="0" applyFont="1" applyFill="1" applyBorder="1" applyAlignment="1">
      <alignment horizontal="center" vertical="center"/>
    </xf>
    <xf numFmtId="0" fontId="25" fillId="8" borderId="1" xfId="0" applyFont="1" applyFill="1" applyBorder="1" applyAlignment="1">
      <alignment horizontal="center" vertical="center"/>
    </xf>
    <xf numFmtId="0" fontId="50" fillId="8" borderId="10" xfId="0" applyFont="1" applyFill="1" applyBorder="1" applyAlignment="1">
      <alignment horizontal="center" vertical="center"/>
    </xf>
    <xf numFmtId="0" fontId="52" fillId="8" borderId="0" xfId="0" applyFont="1" applyFill="1" applyBorder="1" applyAlignment="1">
      <alignment horizontal="center" vertical="center"/>
    </xf>
    <xf numFmtId="0" fontId="56" fillId="8" borderId="0" xfId="0" applyFont="1" applyFill="1" applyBorder="1" applyAlignment="1">
      <alignment horizontal="center" vertical="center"/>
    </xf>
    <xf numFmtId="0" fontId="25" fillId="8" borderId="0" xfId="0" applyFont="1" applyFill="1" applyBorder="1" applyAlignment="1">
      <alignment horizontal="center" vertical="center"/>
    </xf>
    <xf numFmtId="0" fontId="25" fillId="8" borderId="6" xfId="0" applyFont="1" applyFill="1" applyBorder="1" applyAlignment="1">
      <alignment horizontal="center" vertical="center"/>
    </xf>
    <xf numFmtId="0" fontId="25" fillId="8" borderId="7" xfId="0" applyFont="1" applyFill="1" applyBorder="1" applyAlignment="1">
      <alignment horizontal="center" vertical="center"/>
    </xf>
    <xf numFmtId="0" fontId="50" fillId="8" borderId="1" xfId="0" applyFont="1" applyFill="1" applyBorder="1" applyAlignment="1">
      <alignment horizontal="center" vertical="center"/>
    </xf>
    <xf numFmtId="0" fontId="50" fillId="8" borderId="17" xfId="0" applyFont="1" applyFill="1" applyBorder="1" applyAlignment="1">
      <alignment horizontal="center" vertical="center"/>
    </xf>
    <xf numFmtId="0" fontId="26" fillId="0" borderId="0" xfId="0" applyFont="1" applyFill="1" applyBorder="1" applyAlignment="1">
      <alignment horizontal="center" vertical="center" wrapText="1"/>
    </xf>
    <xf numFmtId="0" fontId="42" fillId="0" borderId="0" xfId="0" applyFont="1" applyFill="1" applyBorder="1" applyAlignment="1">
      <alignment horizontal="center" vertical="center" wrapText="1"/>
    </xf>
  </cellXfs>
  <cellStyles count="6">
    <cellStyle name="Comma" xfId="4" builtinId="3"/>
    <cellStyle name="Hyperlink" xfId="1" builtinId="8"/>
    <cellStyle name="Normal" xfId="0" builtinId="0"/>
    <cellStyle name="Normal 2" xfId="5"/>
    <cellStyle name="Normal_BB NT dợt 2 (PHAN CONG THOAT NUOC)" xfId="2"/>
    <cellStyle name="常规_Sheet1" xfId="3"/>
  </cellStyles>
  <dxfs count="0"/>
  <tableStyles count="0" defaultTableStyle="TableStyleMedium2" defaultPivotStyle="PivotStyleLight16"/>
  <colors>
    <mruColors>
      <color rgb="FFF939FE"/>
      <color rgb="FF84848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s>
</file>

<file path=xl/ctrlProps/ctrlProp1.xml><?xml version="1.0" encoding="utf-8"?>
<formControlPr xmlns="http://schemas.microsoft.com/office/spreadsheetml/2009/9/main" objectType="Spin" dx="16" fmlaLink="$B$2" max="20" min="1" page="10" val="2"/>
</file>

<file path=xl/ctrlProps/ctrlProp2.xml><?xml version="1.0" encoding="utf-8"?>
<formControlPr xmlns="http://schemas.microsoft.com/office/spreadsheetml/2009/9/main" objectType="Spin" dx="16" fmlaLink="$D$3" max="10" min="1" page="10"/>
</file>

<file path=xl/drawings/_rels/drawing1.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2.xml.rels><?xml version="1.0" encoding="UTF-8" standalone="yes"?>
<Relationships xmlns="http://schemas.openxmlformats.org/package/2006/relationships"><Relationship Id="rId8" Type="http://schemas.openxmlformats.org/officeDocument/2006/relationships/hyperlink" Target="#TNBT!A1"/><Relationship Id="rId3" Type="http://schemas.openxmlformats.org/officeDocument/2006/relationships/hyperlink" Target="#'BBNT-XAY'!A1"/><Relationship Id="rId7" Type="http://schemas.openxmlformats.org/officeDocument/2006/relationships/hyperlink" Target="#NTHT!A1"/><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hyperlink" Target="#NTCV!A1"/><Relationship Id="rId5" Type="http://schemas.openxmlformats.org/officeDocument/2006/relationships/hyperlink" Target="#'DANH MUC BBNT'!A1"/><Relationship Id="rId4" Type="http://schemas.openxmlformats.org/officeDocument/2006/relationships/hyperlink" Target="#BBNT!A1"/><Relationship Id="rId9" Type="http://schemas.openxmlformats.org/officeDocument/2006/relationships/hyperlink" Target="#TNVXM!A1"/></Relationships>
</file>

<file path=xl/drawings/_rels/drawing3.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4.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5.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6.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7.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8.xml.rels><?xml version="1.0" encoding="UTF-8" standalone="yes"?>
<Relationships xmlns="http://schemas.openxmlformats.org/package/2006/relationships"><Relationship Id="rId8" Type="http://schemas.openxmlformats.org/officeDocument/2006/relationships/hyperlink" Target="#TNVXM!A1"/><Relationship Id="rId3" Type="http://schemas.openxmlformats.org/officeDocument/2006/relationships/hyperlink" Target="#BBNT!A1"/><Relationship Id="rId7" Type="http://schemas.openxmlformats.org/officeDocument/2006/relationships/hyperlink" Target="#TNBT!A1"/><Relationship Id="rId2" Type="http://schemas.openxmlformats.org/officeDocument/2006/relationships/hyperlink" Target="#'BBNT-XAY'!A1"/><Relationship Id="rId1" Type="http://schemas.openxmlformats.org/officeDocument/2006/relationships/image" Target="../media/image3.jpeg"/><Relationship Id="rId6" Type="http://schemas.openxmlformats.org/officeDocument/2006/relationships/hyperlink" Target="#NTHT!A1"/><Relationship Id="rId5" Type="http://schemas.openxmlformats.org/officeDocument/2006/relationships/hyperlink" Target="#NTCV!A1"/><Relationship Id="rId4" Type="http://schemas.openxmlformats.org/officeDocument/2006/relationships/hyperlink" Target="#'DANH MUC BBNT'!A1"/></Relationships>
</file>

<file path=xl/drawings/_rels/drawing9.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10.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11.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12.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13.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14.xml.rels><?xml version="1.0" encoding="UTF-8" standalone="yes"?>
<Relationships xmlns="http://schemas.openxmlformats.org/package/2006/relationships"><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17.xml.rels><?xml version="1.0" encoding="UTF-8" standalone="yes"?>
<Relationships xmlns="http://schemas.openxmlformats.org/package/2006/relationships"><Relationship Id="rId3" Type="http://schemas.openxmlformats.org/officeDocument/2006/relationships/hyperlink" Target="#DATA!A1"/><Relationship Id="rId2" Type="http://schemas.openxmlformats.org/officeDocument/2006/relationships/hyperlink" Target="#BBNT!A1"/><Relationship Id="rId1" Type="http://schemas.openxmlformats.org/officeDocument/2006/relationships/hyperlink" Target="#'BBNT-XAY'!A1"/><Relationship Id="rId4" Type="http://schemas.openxmlformats.org/officeDocument/2006/relationships/hyperlink" Target="#'List - Nha'!A1"/></Relationships>
</file>

<file path=xl/drawings/_rels/drawing19.xml.rels><?xml version="1.0" encoding="UTF-8" standalone="yes"?>
<Relationships xmlns="http://schemas.openxmlformats.org/package/2006/relationships"><Relationship Id="rId8" Type="http://schemas.openxmlformats.org/officeDocument/2006/relationships/hyperlink" Target="#'List - Nha'!A1"/><Relationship Id="rId3" Type="http://schemas.openxmlformats.org/officeDocument/2006/relationships/hyperlink" Target="#'DANH MUC BBNT'!A1"/><Relationship Id="rId7" Type="http://schemas.openxmlformats.org/officeDocument/2006/relationships/hyperlink" Target="#TNVXM!A1"/><Relationship Id="rId2" Type="http://schemas.openxmlformats.org/officeDocument/2006/relationships/hyperlink" Target="#BBNT!A1"/><Relationship Id="rId1" Type="http://schemas.openxmlformats.org/officeDocument/2006/relationships/hyperlink" Target="#'BBNT-XAY'!A1"/><Relationship Id="rId6" Type="http://schemas.openxmlformats.org/officeDocument/2006/relationships/hyperlink" Target="#TNBT!A1"/><Relationship Id="rId5" Type="http://schemas.openxmlformats.org/officeDocument/2006/relationships/hyperlink" Target="#NTHT!A1"/><Relationship Id="rId4" Type="http://schemas.openxmlformats.org/officeDocument/2006/relationships/hyperlink" Target="#NTCV!A1"/></Relationships>
</file>

<file path=xl/drawings/_rels/drawing2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3</xdr:col>
      <xdr:colOff>821586</xdr:colOff>
      <xdr:row>0</xdr:row>
      <xdr:rowOff>29849</xdr:rowOff>
    </xdr:from>
    <xdr:ext cx="754887" cy="327141"/>
    <xdr:sp macro="" textlink="">
      <xdr:nvSpPr>
        <xdr:cNvPr id="9" name="Rectangle 8">
          <a:hlinkClick xmlns:r="http://schemas.openxmlformats.org/officeDocument/2006/relationships" r:id="rId1"/>
        </xdr:cNvPr>
        <xdr:cNvSpPr/>
      </xdr:nvSpPr>
      <xdr:spPr>
        <a:xfrm>
          <a:off x="2928292"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3</xdr:col>
      <xdr:colOff>74962</xdr:colOff>
      <xdr:row>0</xdr:row>
      <xdr:rowOff>25367</xdr:rowOff>
    </xdr:from>
    <xdr:ext cx="647933" cy="327141"/>
    <xdr:sp macro="" textlink="">
      <xdr:nvSpPr>
        <xdr:cNvPr id="11" name="Rectangle 10">
          <a:hlinkClick xmlns:r="http://schemas.openxmlformats.org/officeDocument/2006/relationships" r:id="rId2"/>
        </xdr:cNvPr>
        <xdr:cNvSpPr/>
      </xdr:nvSpPr>
      <xdr:spPr>
        <a:xfrm>
          <a:off x="2181668"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4312075</xdr:colOff>
      <xdr:row>0</xdr:row>
      <xdr:rowOff>14162</xdr:rowOff>
    </xdr:from>
    <xdr:ext cx="1160831" cy="327141"/>
    <xdr:sp macro="" textlink="">
      <xdr:nvSpPr>
        <xdr:cNvPr id="13" name="Rectangle 12">
          <a:hlinkClick xmlns:r="http://schemas.openxmlformats.org/officeDocument/2006/relationships" r:id="rId3"/>
        </xdr:cNvPr>
        <xdr:cNvSpPr/>
      </xdr:nvSpPr>
      <xdr:spPr>
        <a:xfrm>
          <a:off x="6418781"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1680947</xdr:colOff>
      <xdr:row>0</xdr:row>
      <xdr:rowOff>11207</xdr:rowOff>
    </xdr:from>
    <xdr:ext cx="647806" cy="327141"/>
    <xdr:sp macro="" textlink="">
      <xdr:nvSpPr>
        <xdr:cNvPr id="14" name="Rectangle 13">
          <a:hlinkClick xmlns:r="http://schemas.openxmlformats.org/officeDocument/2006/relationships" r:id="rId4"/>
        </xdr:cNvPr>
        <xdr:cNvSpPr/>
      </xdr:nvSpPr>
      <xdr:spPr>
        <a:xfrm>
          <a:off x="3787653"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2408309</xdr:colOff>
      <xdr:row>0</xdr:row>
      <xdr:rowOff>11206</xdr:rowOff>
    </xdr:from>
    <xdr:ext cx="551241" cy="327141"/>
    <xdr:sp macro="" textlink="">
      <xdr:nvSpPr>
        <xdr:cNvPr id="15" name="Rectangle 14">
          <a:hlinkClick xmlns:r="http://schemas.openxmlformats.org/officeDocument/2006/relationships" r:id="rId5"/>
        </xdr:cNvPr>
        <xdr:cNvSpPr/>
      </xdr:nvSpPr>
      <xdr:spPr>
        <a:xfrm>
          <a:off x="4515015"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2986061</xdr:colOff>
      <xdr:row>0</xdr:row>
      <xdr:rowOff>11206</xdr:rowOff>
    </xdr:from>
    <xdr:ext cx="635302" cy="327141"/>
    <xdr:sp macro="" textlink="">
      <xdr:nvSpPr>
        <xdr:cNvPr id="16" name="Rectangle 15">
          <a:hlinkClick xmlns:r="http://schemas.openxmlformats.org/officeDocument/2006/relationships" r:id="rId6"/>
        </xdr:cNvPr>
        <xdr:cNvSpPr/>
      </xdr:nvSpPr>
      <xdr:spPr>
        <a:xfrm>
          <a:off x="5092767"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3656363</xdr:colOff>
      <xdr:row>0</xdr:row>
      <xdr:rowOff>11206</xdr:rowOff>
    </xdr:from>
    <xdr:ext cx="651910" cy="327141"/>
    <xdr:sp macro="" textlink="">
      <xdr:nvSpPr>
        <xdr:cNvPr id="17" name="Rectangle 16">
          <a:hlinkClick xmlns:r="http://schemas.openxmlformats.org/officeDocument/2006/relationships" r:id="rId7"/>
        </xdr:cNvPr>
        <xdr:cNvSpPr/>
      </xdr:nvSpPr>
      <xdr:spPr>
        <a:xfrm>
          <a:off x="5763069"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40</xdr:col>
      <xdr:colOff>0</xdr:colOff>
      <xdr:row>46</xdr:row>
      <xdr:rowOff>145680</xdr:rowOff>
    </xdr:from>
    <xdr:to>
      <xdr:col>68</xdr:col>
      <xdr:colOff>627530</xdr:colOff>
      <xdr:row>57</xdr:row>
      <xdr:rowOff>35777</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21086" y="9648268"/>
          <a:ext cx="7507942" cy="21088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0</xdr:colOff>
      <xdr:row>28</xdr:row>
      <xdr:rowOff>201703</xdr:rowOff>
    </xdr:from>
    <xdr:to>
      <xdr:col>65</xdr:col>
      <xdr:colOff>560929</xdr:colOff>
      <xdr:row>44</xdr:row>
      <xdr:rowOff>33617</xdr:rowOff>
    </xdr:to>
    <xdr:pic>
      <xdr:nvPicPr>
        <xdr:cNvPr id="6" name="Picture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321942" y="5266762"/>
          <a:ext cx="5390665" cy="3059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74270</xdr:colOff>
      <xdr:row>0</xdr:row>
      <xdr:rowOff>74671</xdr:rowOff>
    </xdr:from>
    <xdr:ext cx="754887" cy="327141"/>
    <xdr:sp macro="" textlink="">
      <xdr:nvSpPr>
        <xdr:cNvPr id="4" name="Rectangle 3">
          <a:hlinkClick xmlns:r="http://schemas.openxmlformats.org/officeDocument/2006/relationships" r:id="rId3"/>
        </xdr:cNvPr>
        <xdr:cNvSpPr/>
      </xdr:nvSpPr>
      <xdr:spPr>
        <a:xfrm>
          <a:off x="1262094" y="74671"/>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100852</xdr:colOff>
      <xdr:row>0</xdr:row>
      <xdr:rowOff>70189</xdr:rowOff>
    </xdr:from>
    <xdr:ext cx="647933" cy="327141"/>
    <xdr:sp macro="" textlink="">
      <xdr:nvSpPr>
        <xdr:cNvPr id="7" name="Rectangle 6">
          <a:hlinkClick xmlns:r="http://schemas.openxmlformats.org/officeDocument/2006/relationships" r:id="rId4"/>
        </xdr:cNvPr>
        <xdr:cNvSpPr/>
      </xdr:nvSpPr>
      <xdr:spPr>
        <a:xfrm>
          <a:off x="515470" y="70189"/>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3564759</xdr:colOff>
      <xdr:row>0</xdr:row>
      <xdr:rowOff>58984</xdr:rowOff>
    </xdr:from>
    <xdr:ext cx="1160831" cy="327141"/>
    <xdr:sp macro="" textlink="">
      <xdr:nvSpPr>
        <xdr:cNvPr id="8" name="Rectangle 7">
          <a:hlinkClick xmlns:r="http://schemas.openxmlformats.org/officeDocument/2006/relationships" r:id="rId5"/>
        </xdr:cNvPr>
        <xdr:cNvSpPr/>
      </xdr:nvSpPr>
      <xdr:spPr>
        <a:xfrm>
          <a:off x="4752583" y="58984"/>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933631</xdr:colOff>
      <xdr:row>0</xdr:row>
      <xdr:rowOff>56029</xdr:rowOff>
    </xdr:from>
    <xdr:ext cx="647806" cy="327141"/>
    <xdr:sp macro="" textlink="">
      <xdr:nvSpPr>
        <xdr:cNvPr id="9" name="Rectangle 8">
          <a:hlinkClick xmlns:r="http://schemas.openxmlformats.org/officeDocument/2006/relationships" r:id="rId6"/>
        </xdr:cNvPr>
        <xdr:cNvSpPr/>
      </xdr:nvSpPr>
      <xdr:spPr>
        <a:xfrm>
          <a:off x="2121455" y="56029"/>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1660993</xdr:colOff>
      <xdr:row>0</xdr:row>
      <xdr:rowOff>56028</xdr:rowOff>
    </xdr:from>
    <xdr:ext cx="551241" cy="327141"/>
    <xdr:sp macro="" textlink="">
      <xdr:nvSpPr>
        <xdr:cNvPr id="10" name="Rectangle 9">
          <a:hlinkClick xmlns:r="http://schemas.openxmlformats.org/officeDocument/2006/relationships" r:id="rId7"/>
        </xdr:cNvPr>
        <xdr:cNvSpPr/>
      </xdr:nvSpPr>
      <xdr:spPr>
        <a:xfrm>
          <a:off x="2848817" y="56028"/>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2238745</xdr:colOff>
      <xdr:row>0</xdr:row>
      <xdr:rowOff>56028</xdr:rowOff>
    </xdr:from>
    <xdr:ext cx="635302" cy="327141"/>
    <xdr:sp macro="" textlink="">
      <xdr:nvSpPr>
        <xdr:cNvPr id="11" name="Rectangle 10">
          <a:hlinkClick xmlns:r="http://schemas.openxmlformats.org/officeDocument/2006/relationships" r:id="rId8"/>
        </xdr:cNvPr>
        <xdr:cNvSpPr/>
      </xdr:nvSpPr>
      <xdr:spPr>
        <a:xfrm>
          <a:off x="3426569" y="56028"/>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2909047</xdr:colOff>
      <xdr:row>0</xdr:row>
      <xdr:rowOff>56028</xdr:rowOff>
    </xdr:from>
    <xdr:ext cx="651910" cy="327141"/>
    <xdr:sp macro="" textlink="">
      <xdr:nvSpPr>
        <xdr:cNvPr id="12" name="Rectangle 11">
          <a:hlinkClick xmlns:r="http://schemas.openxmlformats.org/officeDocument/2006/relationships" r:id="rId9"/>
        </xdr:cNvPr>
        <xdr:cNvSpPr/>
      </xdr:nvSpPr>
      <xdr:spPr>
        <a:xfrm>
          <a:off x="4096871" y="56028"/>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74271</xdr:colOff>
      <xdr:row>0</xdr:row>
      <xdr:rowOff>41055</xdr:rowOff>
    </xdr:from>
    <xdr:ext cx="754887" cy="327141"/>
    <xdr:sp macro="" textlink="">
      <xdr:nvSpPr>
        <xdr:cNvPr id="2" name="Rectangle 1">
          <a:hlinkClick xmlns:r="http://schemas.openxmlformats.org/officeDocument/2006/relationships" r:id="rId1"/>
        </xdr:cNvPr>
        <xdr:cNvSpPr/>
      </xdr:nvSpPr>
      <xdr:spPr>
        <a:xfrm>
          <a:off x="1262095" y="41055"/>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100853</xdr:colOff>
      <xdr:row>0</xdr:row>
      <xdr:rowOff>36573</xdr:rowOff>
    </xdr:from>
    <xdr:ext cx="647933" cy="327141"/>
    <xdr:sp macro="" textlink="">
      <xdr:nvSpPr>
        <xdr:cNvPr id="3" name="Rectangle 2">
          <a:hlinkClick xmlns:r="http://schemas.openxmlformats.org/officeDocument/2006/relationships" r:id="rId2"/>
        </xdr:cNvPr>
        <xdr:cNvSpPr/>
      </xdr:nvSpPr>
      <xdr:spPr>
        <a:xfrm>
          <a:off x="515471" y="36573"/>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3564760</xdr:colOff>
      <xdr:row>0</xdr:row>
      <xdr:rowOff>25368</xdr:rowOff>
    </xdr:from>
    <xdr:ext cx="1160831" cy="327141"/>
    <xdr:sp macro="" textlink="">
      <xdr:nvSpPr>
        <xdr:cNvPr id="4" name="Rectangle 3">
          <a:hlinkClick xmlns:r="http://schemas.openxmlformats.org/officeDocument/2006/relationships" r:id="rId3"/>
        </xdr:cNvPr>
        <xdr:cNvSpPr/>
      </xdr:nvSpPr>
      <xdr:spPr>
        <a:xfrm>
          <a:off x="4752584" y="25368"/>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933632</xdr:colOff>
      <xdr:row>0</xdr:row>
      <xdr:rowOff>22413</xdr:rowOff>
    </xdr:from>
    <xdr:ext cx="647806" cy="327141"/>
    <xdr:sp macro="" textlink="">
      <xdr:nvSpPr>
        <xdr:cNvPr id="5" name="Rectangle 4">
          <a:hlinkClick xmlns:r="http://schemas.openxmlformats.org/officeDocument/2006/relationships" r:id="rId4"/>
        </xdr:cNvPr>
        <xdr:cNvSpPr/>
      </xdr:nvSpPr>
      <xdr:spPr>
        <a:xfrm>
          <a:off x="2121456" y="22413"/>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1660994</xdr:colOff>
      <xdr:row>0</xdr:row>
      <xdr:rowOff>22412</xdr:rowOff>
    </xdr:from>
    <xdr:ext cx="551241" cy="327141"/>
    <xdr:sp macro="" textlink="">
      <xdr:nvSpPr>
        <xdr:cNvPr id="6" name="Rectangle 5">
          <a:hlinkClick xmlns:r="http://schemas.openxmlformats.org/officeDocument/2006/relationships" r:id="rId5"/>
        </xdr:cNvPr>
        <xdr:cNvSpPr/>
      </xdr:nvSpPr>
      <xdr:spPr>
        <a:xfrm>
          <a:off x="2848818" y="22412"/>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2238746</xdr:colOff>
      <xdr:row>0</xdr:row>
      <xdr:rowOff>22412</xdr:rowOff>
    </xdr:from>
    <xdr:ext cx="635302" cy="327141"/>
    <xdr:sp macro="" textlink="">
      <xdr:nvSpPr>
        <xdr:cNvPr id="7" name="Rectangle 6">
          <a:hlinkClick xmlns:r="http://schemas.openxmlformats.org/officeDocument/2006/relationships" r:id="rId6"/>
        </xdr:cNvPr>
        <xdr:cNvSpPr/>
      </xdr:nvSpPr>
      <xdr:spPr>
        <a:xfrm>
          <a:off x="3426570" y="22412"/>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2909048</xdr:colOff>
      <xdr:row>0</xdr:row>
      <xdr:rowOff>22412</xdr:rowOff>
    </xdr:from>
    <xdr:ext cx="651910" cy="327141"/>
    <xdr:sp macro="" textlink="">
      <xdr:nvSpPr>
        <xdr:cNvPr id="8" name="Rectangle 7">
          <a:hlinkClick xmlns:r="http://schemas.openxmlformats.org/officeDocument/2006/relationships" r:id="rId7"/>
        </xdr:cNvPr>
        <xdr:cNvSpPr/>
      </xdr:nvSpPr>
      <xdr:spPr>
        <a:xfrm>
          <a:off x="4096872" y="22412"/>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3</xdr:col>
      <xdr:colOff>96682</xdr:colOff>
      <xdr:row>0</xdr:row>
      <xdr:rowOff>29849</xdr:rowOff>
    </xdr:from>
    <xdr:ext cx="754887" cy="327141"/>
    <xdr:sp macro="" textlink="">
      <xdr:nvSpPr>
        <xdr:cNvPr id="2" name="Rectangle 1">
          <a:hlinkClick xmlns:r="http://schemas.openxmlformats.org/officeDocument/2006/relationships" r:id="rId1"/>
        </xdr:cNvPr>
        <xdr:cNvSpPr/>
      </xdr:nvSpPr>
      <xdr:spPr>
        <a:xfrm>
          <a:off x="1284506"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123264</xdr:colOff>
      <xdr:row>0</xdr:row>
      <xdr:rowOff>25367</xdr:rowOff>
    </xdr:from>
    <xdr:ext cx="647933" cy="327141"/>
    <xdr:sp macro="" textlink="">
      <xdr:nvSpPr>
        <xdr:cNvPr id="3" name="Rectangle 2">
          <a:hlinkClick xmlns:r="http://schemas.openxmlformats.org/officeDocument/2006/relationships" r:id="rId2"/>
        </xdr:cNvPr>
        <xdr:cNvSpPr/>
      </xdr:nvSpPr>
      <xdr:spPr>
        <a:xfrm>
          <a:off x="537882"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3587171</xdr:colOff>
      <xdr:row>0</xdr:row>
      <xdr:rowOff>14162</xdr:rowOff>
    </xdr:from>
    <xdr:ext cx="1160831" cy="327141"/>
    <xdr:sp macro="" textlink="">
      <xdr:nvSpPr>
        <xdr:cNvPr id="4" name="Rectangle 3">
          <a:hlinkClick xmlns:r="http://schemas.openxmlformats.org/officeDocument/2006/relationships" r:id="rId3"/>
        </xdr:cNvPr>
        <xdr:cNvSpPr/>
      </xdr:nvSpPr>
      <xdr:spPr>
        <a:xfrm>
          <a:off x="4774995"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956043</xdr:colOff>
      <xdr:row>0</xdr:row>
      <xdr:rowOff>11207</xdr:rowOff>
    </xdr:from>
    <xdr:ext cx="647806" cy="327141"/>
    <xdr:sp macro="" textlink="">
      <xdr:nvSpPr>
        <xdr:cNvPr id="5" name="Rectangle 4">
          <a:hlinkClick xmlns:r="http://schemas.openxmlformats.org/officeDocument/2006/relationships" r:id="rId4"/>
        </xdr:cNvPr>
        <xdr:cNvSpPr/>
      </xdr:nvSpPr>
      <xdr:spPr>
        <a:xfrm>
          <a:off x="2143867"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1683405</xdr:colOff>
      <xdr:row>0</xdr:row>
      <xdr:rowOff>11206</xdr:rowOff>
    </xdr:from>
    <xdr:ext cx="551241" cy="327141"/>
    <xdr:sp macro="" textlink="">
      <xdr:nvSpPr>
        <xdr:cNvPr id="6" name="Rectangle 5">
          <a:hlinkClick xmlns:r="http://schemas.openxmlformats.org/officeDocument/2006/relationships" r:id="rId5"/>
        </xdr:cNvPr>
        <xdr:cNvSpPr/>
      </xdr:nvSpPr>
      <xdr:spPr>
        <a:xfrm>
          <a:off x="2871229"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2261157</xdr:colOff>
      <xdr:row>0</xdr:row>
      <xdr:rowOff>11206</xdr:rowOff>
    </xdr:from>
    <xdr:ext cx="635302" cy="327141"/>
    <xdr:sp macro="" textlink="">
      <xdr:nvSpPr>
        <xdr:cNvPr id="7" name="Rectangle 6">
          <a:hlinkClick xmlns:r="http://schemas.openxmlformats.org/officeDocument/2006/relationships" r:id="rId6"/>
        </xdr:cNvPr>
        <xdr:cNvSpPr/>
      </xdr:nvSpPr>
      <xdr:spPr>
        <a:xfrm>
          <a:off x="3448981"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2931459</xdr:colOff>
      <xdr:row>0</xdr:row>
      <xdr:rowOff>11206</xdr:rowOff>
    </xdr:from>
    <xdr:ext cx="651910" cy="327141"/>
    <xdr:sp macro="" textlink="">
      <xdr:nvSpPr>
        <xdr:cNvPr id="8" name="Rectangle 7">
          <a:hlinkClick xmlns:r="http://schemas.openxmlformats.org/officeDocument/2006/relationships" r:id="rId7"/>
        </xdr:cNvPr>
        <xdr:cNvSpPr/>
      </xdr:nvSpPr>
      <xdr:spPr>
        <a:xfrm>
          <a:off x="4119283"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3</xdr:col>
      <xdr:colOff>107888</xdr:colOff>
      <xdr:row>0</xdr:row>
      <xdr:rowOff>18643</xdr:rowOff>
    </xdr:from>
    <xdr:ext cx="754887" cy="327141"/>
    <xdr:sp macro="" textlink="">
      <xdr:nvSpPr>
        <xdr:cNvPr id="2" name="Rectangle 1">
          <a:hlinkClick xmlns:r="http://schemas.openxmlformats.org/officeDocument/2006/relationships" r:id="rId1"/>
        </xdr:cNvPr>
        <xdr:cNvSpPr/>
      </xdr:nvSpPr>
      <xdr:spPr>
        <a:xfrm>
          <a:off x="1295712" y="18643"/>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134470</xdr:colOff>
      <xdr:row>0</xdr:row>
      <xdr:rowOff>14161</xdr:rowOff>
    </xdr:from>
    <xdr:ext cx="647933" cy="327141"/>
    <xdr:sp macro="" textlink="">
      <xdr:nvSpPr>
        <xdr:cNvPr id="3" name="Rectangle 2">
          <a:hlinkClick xmlns:r="http://schemas.openxmlformats.org/officeDocument/2006/relationships" r:id="rId2"/>
        </xdr:cNvPr>
        <xdr:cNvSpPr/>
      </xdr:nvSpPr>
      <xdr:spPr>
        <a:xfrm>
          <a:off x="549088" y="14161"/>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3598377</xdr:colOff>
      <xdr:row>0</xdr:row>
      <xdr:rowOff>2956</xdr:rowOff>
    </xdr:from>
    <xdr:ext cx="1160831" cy="327141"/>
    <xdr:sp macro="" textlink="">
      <xdr:nvSpPr>
        <xdr:cNvPr id="4" name="Rectangle 3">
          <a:hlinkClick xmlns:r="http://schemas.openxmlformats.org/officeDocument/2006/relationships" r:id="rId3"/>
        </xdr:cNvPr>
        <xdr:cNvSpPr/>
      </xdr:nvSpPr>
      <xdr:spPr>
        <a:xfrm>
          <a:off x="4786201" y="2956"/>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967249</xdr:colOff>
      <xdr:row>0</xdr:row>
      <xdr:rowOff>1</xdr:rowOff>
    </xdr:from>
    <xdr:ext cx="647806" cy="327141"/>
    <xdr:sp macro="" textlink="">
      <xdr:nvSpPr>
        <xdr:cNvPr id="5" name="Rectangle 4">
          <a:hlinkClick xmlns:r="http://schemas.openxmlformats.org/officeDocument/2006/relationships" r:id="rId4"/>
        </xdr:cNvPr>
        <xdr:cNvSpPr/>
      </xdr:nvSpPr>
      <xdr:spPr>
        <a:xfrm>
          <a:off x="2155073" y="1"/>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1694611</xdr:colOff>
      <xdr:row>0</xdr:row>
      <xdr:rowOff>0</xdr:rowOff>
    </xdr:from>
    <xdr:ext cx="551241" cy="327141"/>
    <xdr:sp macro="" textlink="">
      <xdr:nvSpPr>
        <xdr:cNvPr id="6" name="Rectangle 5">
          <a:hlinkClick xmlns:r="http://schemas.openxmlformats.org/officeDocument/2006/relationships" r:id="rId5"/>
        </xdr:cNvPr>
        <xdr:cNvSpPr/>
      </xdr:nvSpPr>
      <xdr:spPr>
        <a:xfrm>
          <a:off x="2882435" y="0"/>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2272363</xdr:colOff>
      <xdr:row>0</xdr:row>
      <xdr:rowOff>0</xdr:rowOff>
    </xdr:from>
    <xdr:ext cx="635302" cy="327141"/>
    <xdr:sp macro="" textlink="">
      <xdr:nvSpPr>
        <xdr:cNvPr id="7" name="Rectangle 6">
          <a:hlinkClick xmlns:r="http://schemas.openxmlformats.org/officeDocument/2006/relationships" r:id="rId6"/>
        </xdr:cNvPr>
        <xdr:cNvSpPr/>
      </xdr:nvSpPr>
      <xdr:spPr>
        <a:xfrm>
          <a:off x="3460187" y="0"/>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2942665</xdr:colOff>
      <xdr:row>0</xdr:row>
      <xdr:rowOff>0</xdr:rowOff>
    </xdr:from>
    <xdr:ext cx="651910" cy="327141"/>
    <xdr:sp macro="" textlink="">
      <xdr:nvSpPr>
        <xdr:cNvPr id="8" name="Rectangle 7">
          <a:hlinkClick xmlns:r="http://schemas.openxmlformats.org/officeDocument/2006/relationships" r:id="rId7"/>
        </xdr:cNvPr>
        <xdr:cNvSpPr/>
      </xdr:nvSpPr>
      <xdr:spPr>
        <a:xfrm>
          <a:off x="4130489" y="0"/>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3</xdr:col>
      <xdr:colOff>107888</xdr:colOff>
      <xdr:row>0</xdr:row>
      <xdr:rowOff>29848</xdr:rowOff>
    </xdr:from>
    <xdr:ext cx="754887" cy="327141"/>
    <xdr:sp macro="" textlink="">
      <xdr:nvSpPr>
        <xdr:cNvPr id="2" name="Rectangle 1">
          <a:hlinkClick xmlns:r="http://schemas.openxmlformats.org/officeDocument/2006/relationships" r:id="rId1"/>
        </xdr:cNvPr>
        <xdr:cNvSpPr/>
      </xdr:nvSpPr>
      <xdr:spPr>
        <a:xfrm>
          <a:off x="1295712" y="29848"/>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134470</xdr:colOff>
      <xdr:row>0</xdr:row>
      <xdr:rowOff>25366</xdr:rowOff>
    </xdr:from>
    <xdr:ext cx="647933" cy="327141"/>
    <xdr:sp macro="" textlink="">
      <xdr:nvSpPr>
        <xdr:cNvPr id="3" name="Rectangle 2">
          <a:hlinkClick xmlns:r="http://schemas.openxmlformats.org/officeDocument/2006/relationships" r:id="rId2"/>
        </xdr:cNvPr>
        <xdr:cNvSpPr/>
      </xdr:nvSpPr>
      <xdr:spPr>
        <a:xfrm>
          <a:off x="549088" y="25366"/>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3598377</xdr:colOff>
      <xdr:row>0</xdr:row>
      <xdr:rowOff>14161</xdr:rowOff>
    </xdr:from>
    <xdr:ext cx="1160831" cy="327141"/>
    <xdr:sp macro="" textlink="">
      <xdr:nvSpPr>
        <xdr:cNvPr id="4" name="Rectangle 3">
          <a:hlinkClick xmlns:r="http://schemas.openxmlformats.org/officeDocument/2006/relationships" r:id="rId3"/>
        </xdr:cNvPr>
        <xdr:cNvSpPr/>
      </xdr:nvSpPr>
      <xdr:spPr>
        <a:xfrm>
          <a:off x="4786201" y="14161"/>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967249</xdr:colOff>
      <xdr:row>0</xdr:row>
      <xdr:rowOff>11206</xdr:rowOff>
    </xdr:from>
    <xdr:ext cx="647806" cy="327141"/>
    <xdr:sp macro="" textlink="">
      <xdr:nvSpPr>
        <xdr:cNvPr id="5" name="Rectangle 4">
          <a:hlinkClick xmlns:r="http://schemas.openxmlformats.org/officeDocument/2006/relationships" r:id="rId4"/>
        </xdr:cNvPr>
        <xdr:cNvSpPr/>
      </xdr:nvSpPr>
      <xdr:spPr>
        <a:xfrm>
          <a:off x="2155073" y="11206"/>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1694611</xdr:colOff>
      <xdr:row>0</xdr:row>
      <xdr:rowOff>11205</xdr:rowOff>
    </xdr:from>
    <xdr:ext cx="551241" cy="327141"/>
    <xdr:sp macro="" textlink="">
      <xdr:nvSpPr>
        <xdr:cNvPr id="6" name="Rectangle 5">
          <a:hlinkClick xmlns:r="http://schemas.openxmlformats.org/officeDocument/2006/relationships" r:id="rId5"/>
        </xdr:cNvPr>
        <xdr:cNvSpPr/>
      </xdr:nvSpPr>
      <xdr:spPr>
        <a:xfrm>
          <a:off x="2882435" y="11205"/>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2272363</xdr:colOff>
      <xdr:row>0</xdr:row>
      <xdr:rowOff>11205</xdr:rowOff>
    </xdr:from>
    <xdr:ext cx="635302" cy="327141"/>
    <xdr:sp macro="" textlink="">
      <xdr:nvSpPr>
        <xdr:cNvPr id="7" name="Rectangle 6">
          <a:hlinkClick xmlns:r="http://schemas.openxmlformats.org/officeDocument/2006/relationships" r:id="rId6"/>
        </xdr:cNvPr>
        <xdr:cNvSpPr/>
      </xdr:nvSpPr>
      <xdr:spPr>
        <a:xfrm>
          <a:off x="3460187" y="11205"/>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2942665</xdr:colOff>
      <xdr:row>0</xdr:row>
      <xdr:rowOff>11205</xdr:rowOff>
    </xdr:from>
    <xdr:ext cx="651910" cy="327141"/>
    <xdr:sp macro="" textlink="">
      <xdr:nvSpPr>
        <xdr:cNvPr id="8" name="Rectangle 7">
          <a:hlinkClick xmlns:r="http://schemas.openxmlformats.org/officeDocument/2006/relationships" r:id="rId7"/>
        </xdr:cNvPr>
        <xdr:cNvSpPr/>
      </xdr:nvSpPr>
      <xdr:spPr>
        <a:xfrm>
          <a:off x="4130489" y="11205"/>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3</xdr:col>
      <xdr:colOff>85477</xdr:colOff>
      <xdr:row>0</xdr:row>
      <xdr:rowOff>29849</xdr:rowOff>
    </xdr:from>
    <xdr:ext cx="754887" cy="327141"/>
    <xdr:sp macro="" textlink="">
      <xdr:nvSpPr>
        <xdr:cNvPr id="2" name="Rectangle 1">
          <a:hlinkClick xmlns:r="http://schemas.openxmlformats.org/officeDocument/2006/relationships" r:id="rId1"/>
        </xdr:cNvPr>
        <xdr:cNvSpPr/>
      </xdr:nvSpPr>
      <xdr:spPr>
        <a:xfrm>
          <a:off x="1273301"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112059</xdr:colOff>
      <xdr:row>0</xdr:row>
      <xdr:rowOff>25367</xdr:rowOff>
    </xdr:from>
    <xdr:ext cx="647933" cy="327141"/>
    <xdr:sp macro="" textlink="">
      <xdr:nvSpPr>
        <xdr:cNvPr id="3" name="Rectangle 2">
          <a:hlinkClick xmlns:r="http://schemas.openxmlformats.org/officeDocument/2006/relationships" r:id="rId2"/>
        </xdr:cNvPr>
        <xdr:cNvSpPr/>
      </xdr:nvSpPr>
      <xdr:spPr>
        <a:xfrm>
          <a:off x="526677"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3575966</xdr:colOff>
      <xdr:row>0</xdr:row>
      <xdr:rowOff>14162</xdr:rowOff>
    </xdr:from>
    <xdr:ext cx="1160831" cy="327141"/>
    <xdr:sp macro="" textlink="">
      <xdr:nvSpPr>
        <xdr:cNvPr id="4" name="Rectangle 3">
          <a:hlinkClick xmlns:r="http://schemas.openxmlformats.org/officeDocument/2006/relationships" r:id="rId3"/>
        </xdr:cNvPr>
        <xdr:cNvSpPr/>
      </xdr:nvSpPr>
      <xdr:spPr>
        <a:xfrm>
          <a:off x="4763790"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944838</xdr:colOff>
      <xdr:row>0</xdr:row>
      <xdr:rowOff>11207</xdr:rowOff>
    </xdr:from>
    <xdr:ext cx="647806" cy="327141"/>
    <xdr:sp macro="" textlink="">
      <xdr:nvSpPr>
        <xdr:cNvPr id="5" name="Rectangle 4">
          <a:hlinkClick xmlns:r="http://schemas.openxmlformats.org/officeDocument/2006/relationships" r:id="rId4"/>
        </xdr:cNvPr>
        <xdr:cNvSpPr/>
      </xdr:nvSpPr>
      <xdr:spPr>
        <a:xfrm>
          <a:off x="2132662"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1672200</xdr:colOff>
      <xdr:row>0</xdr:row>
      <xdr:rowOff>11206</xdr:rowOff>
    </xdr:from>
    <xdr:ext cx="551241" cy="327141"/>
    <xdr:sp macro="" textlink="">
      <xdr:nvSpPr>
        <xdr:cNvPr id="6" name="Rectangle 5">
          <a:hlinkClick xmlns:r="http://schemas.openxmlformats.org/officeDocument/2006/relationships" r:id="rId5"/>
        </xdr:cNvPr>
        <xdr:cNvSpPr/>
      </xdr:nvSpPr>
      <xdr:spPr>
        <a:xfrm>
          <a:off x="2860024"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2249952</xdr:colOff>
      <xdr:row>0</xdr:row>
      <xdr:rowOff>11206</xdr:rowOff>
    </xdr:from>
    <xdr:ext cx="635302" cy="327141"/>
    <xdr:sp macro="" textlink="">
      <xdr:nvSpPr>
        <xdr:cNvPr id="7" name="Rectangle 6">
          <a:hlinkClick xmlns:r="http://schemas.openxmlformats.org/officeDocument/2006/relationships" r:id="rId6"/>
        </xdr:cNvPr>
        <xdr:cNvSpPr/>
      </xdr:nvSpPr>
      <xdr:spPr>
        <a:xfrm>
          <a:off x="3437776"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2920254</xdr:colOff>
      <xdr:row>0</xdr:row>
      <xdr:rowOff>11206</xdr:rowOff>
    </xdr:from>
    <xdr:ext cx="651910" cy="327141"/>
    <xdr:sp macro="" textlink="">
      <xdr:nvSpPr>
        <xdr:cNvPr id="8" name="Rectangle 7">
          <a:hlinkClick xmlns:r="http://schemas.openxmlformats.org/officeDocument/2006/relationships" r:id="rId7"/>
        </xdr:cNvPr>
        <xdr:cNvSpPr/>
      </xdr:nvSpPr>
      <xdr:spPr>
        <a:xfrm>
          <a:off x="4108078"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4</xdr:col>
      <xdr:colOff>177052</xdr:colOff>
      <xdr:row>22</xdr:row>
      <xdr:rowOff>22973</xdr:rowOff>
    </xdr:from>
    <xdr:to>
      <xdr:col>7</xdr:col>
      <xdr:colOff>291352</xdr:colOff>
      <xdr:row>26</xdr:row>
      <xdr:rowOff>24654</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87787" y="4639797"/>
          <a:ext cx="5549153" cy="3004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18242</xdr:colOff>
      <xdr:row>0</xdr:row>
      <xdr:rowOff>18643</xdr:rowOff>
    </xdr:from>
    <xdr:ext cx="754887" cy="327141"/>
    <xdr:sp macro="" textlink="">
      <xdr:nvSpPr>
        <xdr:cNvPr id="3" name="Rectangle 2">
          <a:hlinkClick xmlns:r="http://schemas.openxmlformats.org/officeDocument/2006/relationships" r:id="rId2"/>
        </xdr:cNvPr>
        <xdr:cNvSpPr/>
      </xdr:nvSpPr>
      <xdr:spPr>
        <a:xfrm>
          <a:off x="1318124" y="18643"/>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156882</xdr:colOff>
      <xdr:row>0</xdr:row>
      <xdr:rowOff>14161</xdr:rowOff>
    </xdr:from>
    <xdr:ext cx="647933" cy="327141"/>
    <xdr:sp macro="" textlink="">
      <xdr:nvSpPr>
        <xdr:cNvPr id="4" name="Rectangle 3">
          <a:hlinkClick xmlns:r="http://schemas.openxmlformats.org/officeDocument/2006/relationships" r:id="rId3"/>
        </xdr:cNvPr>
        <xdr:cNvSpPr/>
      </xdr:nvSpPr>
      <xdr:spPr>
        <a:xfrm>
          <a:off x="571500" y="14161"/>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3508731</xdr:colOff>
      <xdr:row>0</xdr:row>
      <xdr:rowOff>2956</xdr:rowOff>
    </xdr:from>
    <xdr:ext cx="1160831" cy="327141"/>
    <xdr:sp macro="" textlink="">
      <xdr:nvSpPr>
        <xdr:cNvPr id="5" name="Rectangle 4">
          <a:hlinkClick xmlns:r="http://schemas.openxmlformats.org/officeDocument/2006/relationships" r:id="rId4"/>
        </xdr:cNvPr>
        <xdr:cNvSpPr/>
      </xdr:nvSpPr>
      <xdr:spPr>
        <a:xfrm>
          <a:off x="4808613" y="2956"/>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877603</xdr:colOff>
      <xdr:row>0</xdr:row>
      <xdr:rowOff>1</xdr:rowOff>
    </xdr:from>
    <xdr:ext cx="647806" cy="327141"/>
    <xdr:sp macro="" textlink="">
      <xdr:nvSpPr>
        <xdr:cNvPr id="6" name="Rectangle 5">
          <a:hlinkClick xmlns:r="http://schemas.openxmlformats.org/officeDocument/2006/relationships" r:id="rId5"/>
        </xdr:cNvPr>
        <xdr:cNvSpPr/>
      </xdr:nvSpPr>
      <xdr:spPr>
        <a:xfrm>
          <a:off x="2177485" y="1"/>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1604965</xdr:colOff>
      <xdr:row>0</xdr:row>
      <xdr:rowOff>0</xdr:rowOff>
    </xdr:from>
    <xdr:ext cx="551241" cy="327141"/>
    <xdr:sp macro="" textlink="">
      <xdr:nvSpPr>
        <xdr:cNvPr id="7" name="Rectangle 6">
          <a:hlinkClick xmlns:r="http://schemas.openxmlformats.org/officeDocument/2006/relationships" r:id="rId6"/>
        </xdr:cNvPr>
        <xdr:cNvSpPr/>
      </xdr:nvSpPr>
      <xdr:spPr>
        <a:xfrm>
          <a:off x="2904847" y="0"/>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2182717</xdr:colOff>
      <xdr:row>0</xdr:row>
      <xdr:rowOff>0</xdr:rowOff>
    </xdr:from>
    <xdr:ext cx="635302" cy="327141"/>
    <xdr:sp macro="" textlink="">
      <xdr:nvSpPr>
        <xdr:cNvPr id="8" name="Rectangle 7">
          <a:hlinkClick xmlns:r="http://schemas.openxmlformats.org/officeDocument/2006/relationships" r:id="rId7"/>
        </xdr:cNvPr>
        <xdr:cNvSpPr/>
      </xdr:nvSpPr>
      <xdr:spPr>
        <a:xfrm>
          <a:off x="3482599" y="0"/>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2853019</xdr:colOff>
      <xdr:row>0</xdr:row>
      <xdr:rowOff>0</xdr:rowOff>
    </xdr:from>
    <xdr:ext cx="651910" cy="327141"/>
    <xdr:sp macro="" textlink="">
      <xdr:nvSpPr>
        <xdr:cNvPr id="9" name="Rectangle 8">
          <a:hlinkClick xmlns:r="http://schemas.openxmlformats.org/officeDocument/2006/relationships" r:id="rId8"/>
        </xdr:cNvPr>
        <xdr:cNvSpPr/>
      </xdr:nvSpPr>
      <xdr:spPr>
        <a:xfrm>
          <a:off x="4152901" y="0"/>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119094</xdr:colOff>
      <xdr:row>0</xdr:row>
      <xdr:rowOff>18643</xdr:rowOff>
    </xdr:from>
    <xdr:ext cx="754887" cy="327141"/>
    <xdr:sp macro="" textlink="">
      <xdr:nvSpPr>
        <xdr:cNvPr id="2" name="Rectangle 1">
          <a:hlinkClick xmlns:r="http://schemas.openxmlformats.org/officeDocument/2006/relationships" r:id="rId1"/>
        </xdr:cNvPr>
        <xdr:cNvSpPr/>
      </xdr:nvSpPr>
      <xdr:spPr>
        <a:xfrm>
          <a:off x="1306918" y="18643"/>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145676</xdr:colOff>
      <xdr:row>0</xdr:row>
      <xdr:rowOff>14161</xdr:rowOff>
    </xdr:from>
    <xdr:ext cx="647933" cy="327141"/>
    <xdr:sp macro="" textlink="">
      <xdr:nvSpPr>
        <xdr:cNvPr id="3" name="Rectangle 2">
          <a:hlinkClick xmlns:r="http://schemas.openxmlformats.org/officeDocument/2006/relationships" r:id="rId2"/>
        </xdr:cNvPr>
        <xdr:cNvSpPr/>
      </xdr:nvSpPr>
      <xdr:spPr>
        <a:xfrm>
          <a:off x="560294" y="14161"/>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3609583</xdr:colOff>
      <xdr:row>0</xdr:row>
      <xdr:rowOff>2956</xdr:rowOff>
    </xdr:from>
    <xdr:ext cx="1160831" cy="327141"/>
    <xdr:sp macro="" textlink="">
      <xdr:nvSpPr>
        <xdr:cNvPr id="4" name="Rectangle 3">
          <a:hlinkClick xmlns:r="http://schemas.openxmlformats.org/officeDocument/2006/relationships" r:id="rId3"/>
        </xdr:cNvPr>
        <xdr:cNvSpPr/>
      </xdr:nvSpPr>
      <xdr:spPr>
        <a:xfrm>
          <a:off x="4797407" y="2956"/>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978455</xdr:colOff>
      <xdr:row>0</xdr:row>
      <xdr:rowOff>1</xdr:rowOff>
    </xdr:from>
    <xdr:ext cx="647806" cy="327141"/>
    <xdr:sp macro="" textlink="">
      <xdr:nvSpPr>
        <xdr:cNvPr id="5" name="Rectangle 4">
          <a:hlinkClick xmlns:r="http://schemas.openxmlformats.org/officeDocument/2006/relationships" r:id="rId4"/>
        </xdr:cNvPr>
        <xdr:cNvSpPr/>
      </xdr:nvSpPr>
      <xdr:spPr>
        <a:xfrm>
          <a:off x="2166279" y="1"/>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1705817</xdr:colOff>
      <xdr:row>0</xdr:row>
      <xdr:rowOff>0</xdr:rowOff>
    </xdr:from>
    <xdr:ext cx="551241" cy="327141"/>
    <xdr:sp macro="" textlink="">
      <xdr:nvSpPr>
        <xdr:cNvPr id="6" name="Rectangle 5">
          <a:hlinkClick xmlns:r="http://schemas.openxmlformats.org/officeDocument/2006/relationships" r:id="rId5"/>
        </xdr:cNvPr>
        <xdr:cNvSpPr/>
      </xdr:nvSpPr>
      <xdr:spPr>
        <a:xfrm>
          <a:off x="2893641" y="0"/>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2283569</xdr:colOff>
      <xdr:row>0</xdr:row>
      <xdr:rowOff>0</xdr:rowOff>
    </xdr:from>
    <xdr:ext cx="635302" cy="327141"/>
    <xdr:sp macro="" textlink="">
      <xdr:nvSpPr>
        <xdr:cNvPr id="7" name="Rectangle 6">
          <a:hlinkClick xmlns:r="http://schemas.openxmlformats.org/officeDocument/2006/relationships" r:id="rId6"/>
        </xdr:cNvPr>
        <xdr:cNvSpPr/>
      </xdr:nvSpPr>
      <xdr:spPr>
        <a:xfrm>
          <a:off x="3471393" y="0"/>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2953871</xdr:colOff>
      <xdr:row>0</xdr:row>
      <xdr:rowOff>0</xdr:rowOff>
    </xdr:from>
    <xdr:ext cx="651910" cy="327141"/>
    <xdr:sp macro="" textlink="">
      <xdr:nvSpPr>
        <xdr:cNvPr id="8" name="Rectangle 7">
          <a:hlinkClick xmlns:r="http://schemas.openxmlformats.org/officeDocument/2006/relationships" r:id="rId7"/>
        </xdr:cNvPr>
        <xdr:cNvSpPr/>
      </xdr:nvSpPr>
      <xdr:spPr>
        <a:xfrm>
          <a:off x="4141695" y="0"/>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3</xdr:col>
      <xdr:colOff>130300</xdr:colOff>
      <xdr:row>0</xdr:row>
      <xdr:rowOff>29849</xdr:rowOff>
    </xdr:from>
    <xdr:ext cx="754887" cy="327141"/>
    <xdr:sp macro="" textlink="">
      <xdr:nvSpPr>
        <xdr:cNvPr id="2" name="Rectangle 1">
          <a:hlinkClick xmlns:r="http://schemas.openxmlformats.org/officeDocument/2006/relationships" r:id="rId1"/>
        </xdr:cNvPr>
        <xdr:cNvSpPr/>
      </xdr:nvSpPr>
      <xdr:spPr>
        <a:xfrm>
          <a:off x="1318124"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156882</xdr:colOff>
      <xdr:row>0</xdr:row>
      <xdr:rowOff>25367</xdr:rowOff>
    </xdr:from>
    <xdr:ext cx="647933" cy="327141"/>
    <xdr:sp macro="" textlink="">
      <xdr:nvSpPr>
        <xdr:cNvPr id="3" name="Rectangle 2">
          <a:hlinkClick xmlns:r="http://schemas.openxmlformats.org/officeDocument/2006/relationships" r:id="rId2"/>
        </xdr:cNvPr>
        <xdr:cNvSpPr/>
      </xdr:nvSpPr>
      <xdr:spPr>
        <a:xfrm>
          <a:off x="571500"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3620789</xdr:colOff>
      <xdr:row>0</xdr:row>
      <xdr:rowOff>14162</xdr:rowOff>
    </xdr:from>
    <xdr:ext cx="1160831" cy="327141"/>
    <xdr:sp macro="" textlink="">
      <xdr:nvSpPr>
        <xdr:cNvPr id="4" name="Rectangle 3">
          <a:hlinkClick xmlns:r="http://schemas.openxmlformats.org/officeDocument/2006/relationships" r:id="rId3"/>
        </xdr:cNvPr>
        <xdr:cNvSpPr/>
      </xdr:nvSpPr>
      <xdr:spPr>
        <a:xfrm>
          <a:off x="4808613"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989661</xdr:colOff>
      <xdr:row>0</xdr:row>
      <xdr:rowOff>11207</xdr:rowOff>
    </xdr:from>
    <xdr:ext cx="647806" cy="327141"/>
    <xdr:sp macro="" textlink="">
      <xdr:nvSpPr>
        <xdr:cNvPr id="5" name="Rectangle 4">
          <a:hlinkClick xmlns:r="http://schemas.openxmlformats.org/officeDocument/2006/relationships" r:id="rId4"/>
        </xdr:cNvPr>
        <xdr:cNvSpPr/>
      </xdr:nvSpPr>
      <xdr:spPr>
        <a:xfrm>
          <a:off x="2177485"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1717023</xdr:colOff>
      <xdr:row>0</xdr:row>
      <xdr:rowOff>11206</xdr:rowOff>
    </xdr:from>
    <xdr:ext cx="551241" cy="327141"/>
    <xdr:sp macro="" textlink="">
      <xdr:nvSpPr>
        <xdr:cNvPr id="6" name="Rectangle 5">
          <a:hlinkClick xmlns:r="http://schemas.openxmlformats.org/officeDocument/2006/relationships" r:id="rId5"/>
        </xdr:cNvPr>
        <xdr:cNvSpPr/>
      </xdr:nvSpPr>
      <xdr:spPr>
        <a:xfrm>
          <a:off x="2904847"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2294775</xdr:colOff>
      <xdr:row>0</xdr:row>
      <xdr:rowOff>11206</xdr:rowOff>
    </xdr:from>
    <xdr:ext cx="635302" cy="327141"/>
    <xdr:sp macro="" textlink="">
      <xdr:nvSpPr>
        <xdr:cNvPr id="7" name="Rectangle 6">
          <a:hlinkClick xmlns:r="http://schemas.openxmlformats.org/officeDocument/2006/relationships" r:id="rId6"/>
        </xdr:cNvPr>
        <xdr:cNvSpPr/>
      </xdr:nvSpPr>
      <xdr:spPr>
        <a:xfrm>
          <a:off x="3482599"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2965077</xdr:colOff>
      <xdr:row>0</xdr:row>
      <xdr:rowOff>11206</xdr:rowOff>
    </xdr:from>
    <xdr:ext cx="651910" cy="327141"/>
    <xdr:sp macro="" textlink="">
      <xdr:nvSpPr>
        <xdr:cNvPr id="8" name="Rectangle 7">
          <a:hlinkClick xmlns:r="http://schemas.openxmlformats.org/officeDocument/2006/relationships" r:id="rId7"/>
        </xdr:cNvPr>
        <xdr:cNvSpPr/>
      </xdr:nvSpPr>
      <xdr:spPr>
        <a:xfrm>
          <a:off x="4152901"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2</xdr:col>
      <xdr:colOff>298389</xdr:colOff>
      <xdr:row>0</xdr:row>
      <xdr:rowOff>29849</xdr:rowOff>
    </xdr:from>
    <xdr:ext cx="754887" cy="327141"/>
    <xdr:sp macro="" textlink="">
      <xdr:nvSpPr>
        <xdr:cNvPr id="2" name="Rectangle 1">
          <a:hlinkClick xmlns:r="http://schemas.openxmlformats.org/officeDocument/2006/relationships" r:id="rId1"/>
        </xdr:cNvPr>
        <xdr:cNvSpPr/>
      </xdr:nvSpPr>
      <xdr:spPr>
        <a:xfrm>
          <a:off x="1553448"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1</xdr:col>
      <xdr:colOff>392206</xdr:colOff>
      <xdr:row>0</xdr:row>
      <xdr:rowOff>25367</xdr:rowOff>
    </xdr:from>
    <xdr:ext cx="647933" cy="327141"/>
    <xdr:sp macro="" textlink="">
      <xdr:nvSpPr>
        <xdr:cNvPr id="3" name="Rectangle 2">
          <a:hlinkClick xmlns:r="http://schemas.openxmlformats.org/officeDocument/2006/relationships" r:id="rId2"/>
        </xdr:cNvPr>
        <xdr:cNvSpPr/>
      </xdr:nvSpPr>
      <xdr:spPr>
        <a:xfrm>
          <a:off x="806824"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3015672</xdr:colOff>
      <xdr:row>0</xdr:row>
      <xdr:rowOff>14162</xdr:rowOff>
    </xdr:from>
    <xdr:ext cx="1160831" cy="327141"/>
    <xdr:sp macro="" textlink="">
      <xdr:nvSpPr>
        <xdr:cNvPr id="4" name="Rectangle 3">
          <a:hlinkClick xmlns:r="http://schemas.openxmlformats.org/officeDocument/2006/relationships" r:id="rId3"/>
        </xdr:cNvPr>
        <xdr:cNvSpPr/>
      </xdr:nvSpPr>
      <xdr:spPr>
        <a:xfrm>
          <a:off x="5043937"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384544</xdr:colOff>
      <xdr:row>0</xdr:row>
      <xdr:rowOff>11207</xdr:rowOff>
    </xdr:from>
    <xdr:ext cx="647806" cy="327141"/>
    <xdr:sp macro="" textlink="">
      <xdr:nvSpPr>
        <xdr:cNvPr id="5" name="Rectangle 4">
          <a:hlinkClick xmlns:r="http://schemas.openxmlformats.org/officeDocument/2006/relationships" r:id="rId4"/>
        </xdr:cNvPr>
        <xdr:cNvSpPr/>
      </xdr:nvSpPr>
      <xdr:spPr>
        <a:xfrm>
          <a:off x="2412809"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1111906</xdr:colOff>
      <xdr:row>0</xdr:row>
      <xdr:rowOff>11206</xdr:rowOff>
    </xdr:from>
    <xdr:ext cx="551241" cy="327141"/>
    <xdr:sp macro="" textlink="">
      <xdr:nvSpPr>
        <xdr:cNvPr id="6" name="Rectangle 5">
          <a:hlinkClick xmlns:r="http://schemas.openxmlformats.org/officeDocument/2006/relationships" r:id="rId5"/>
        </xdr:cNvPr>
        <xdr:cNvSpPr/>
      </xdr:nvSpPr>
      <xdr:spPr>
        <a:xfrm>
          <a:off x="3140171"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1689658</xdr:colOff>
      <xdr:row>0</xdr:row>
      <xdr:rowOff>11206</xdr:rowOff>
    </xdr:from>
    <xdr:ext cx="635302" cy="327141"/>
    <xdr:sp macro="" textlink="">
      <xdr:nvSpPr>
        <xdr:cNvPr id="7" name="Rectangle 6">
          <a:hlinkClick xmlns:r="http://schemas.openxmlformats.org/officeDocument/2006/relationships" r:id="rId6"/>
        </xdr:cNvPr>
        <xdr:cNvSpPr/>
      </xdr:nvSpPr>
      <xdr:spPr>
        <a:xfrm>
          <a:off x="3717923"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2359960</xdr:colOff>
      <xdr:row>0</xdr:row>
      <xdr:rowOff>11206</xdr:rowOff>
    </xdr:from>
    <xdr:ext cx="651910" cy="327141"/>
    <xdr:sp macro="" textlink="">
      <xdr:nvSpPr>
        <xdr:cNvPr id="8" name="Rectangle 7">
          <a:hlinkClick xmlns:r="http://schemas.openxmlformats.org/officeDocument/2006/relationships" r:id="rId7"/>
        </xdr:cNvPr>
        <xdr:cNvSpPr/>
      </xdr:nvSpPr>
      <xdr:spPr>
        <a:xfrm>
          <a:off x="4388225"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3</xdr:col>
      <xdr:colOff>96682</xdr:colOff>
      <xdr:row>0</xdr:row>
      <xdr:rowOff>29849</xdr:rowOff>
    </xdr:from>
    <xdr:ext cx="754887" cy="327141"/>
    <xdr:sp macro="" textlink="">
      <xdr:nvSpPr>
        <xdr:cNvPr id="2" name="Rectangle 1">
          <a:hlinkClick xmlns:r="http://schemas.openxmlformats.org/officeDocument/2006/relationships" r:id="rId1"/>
        </xdr:cNvPr>
        <xdr:cNvSpPr/>
      </xdr:nvSpPr>
      <xdr:spPr>
        <a:xfrm>
          <a:off x="1284506"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123264</xdr:colOff>
      <xdr:row>0</xdr:row>
      <xdr:rowOff>25367</xdr:rowOff>
    </xdr:from>
    <xdr:ext cx="647933" cy="327141"/>
    <xdr:sp macro="" textlink="">
      <xdr:nvSpPr>
        <xdr:cNvPr id="3" name="Rectangle 2">
          <a:hlinkClick xmlns:r="http://schemas.openxmlformats.org/officeDocument/2006/relationships" r:id="rId2"/>
        </xdr:cNvPr>
        <xdr:cNvSpPr/>
      </xdr:nvSpPr>
      <xdr:spPr>
        <a:xfrm>
          <a:off x="537882"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3587171</xdr:colOff>
      <xdr:row>0</xdr:row>
      <xdr:rowOff>14162</xdr:rowOff>
    </xdr:from>
    <xdr:ext cx="1160831" cy="327141"/>
    <xdr:sp macro="" textlink="">
      <xdr:nvSpPr>
        <xdr:cNvPr id="4" name="Rectangle 3">
          <a:hlinkClick xmlns:r="http://schemas.openxmlformats.org/officeDocument/2006/relationships" r:id="rId3"/>
        </xdr:cNvPr>
        <xdr:cNvSpPr/>
      </xdr:nvSpPr>
      <xdr:spPr>
        <a:xfrm>
          <a:off x="4774995"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956043</xdr:colOff>
      <xdr:row>0</xdr:row>
      <xdr:rowOff>11207</xdr:rowOff>
    </xdr:from>
    <xdr:ext cx="647806" cy="327141"/>
    <xdr:sp macro="" textlink="">
      <xdr:nvSpPr>
        <xdr:cNvPr id="5" name="Rectangle 4">
          <a:hlinkClick xmlns:r="http://schemas.openxmlformats.org/officeDocument/2006/relationships" r:id="rId4"/>
        </xdr:cNvPr>
        <xdr:cNvSpPr/>
      </xdr:nvSpPr>
      <xdr:spPr>
        <a:xfrm>
          <a:off x="2143867"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1683405</xdr:colOff>
      <xdr:row>0</xdr:row>
      <xdr:rowOff>11206</xdr:rowOff>
    </xdr:from>
    <xdr:ext cx="551241" cy="327141"/>
    <xdr:sp macro="" textlink="">
      <xdr:nvSpPr>
        <xdr:cNvPr id="6" name="Rectangle 5">
          <a:hlinkClick xmlns:r="http://schemas.openxmlformats.org/officeDocument/2006/relationships" r:id="rId5"/>
        </xdr:cNvPr>
        <xdr:cNvSpPr/>
      </xdr:nvSpPr>
      <xdr:spPr>
        <a:xfrm>
          <a:off x="2871229"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2261157</xdr:colOff>
      <xdr:row>0</xdr:row>
      <xdr:rowOff>11206</xdr:rowOff>
    </xdr:from>
    <xdr:ext cx="635302" cy="327141"/>
    <xdr:sp macro="" textlink="">
      <xdr:nvSpPr>
        <xdr:cNvPr id="7" name="Rectangle 6">
          <a:hlinkClick xmlns:r="http://schemas.openxmlformats.org/officeDocument/2006/relationships" r:id="rId6"/>
        </xdr:cNvPr>
        <xdr:cNvSpPr/>
      </xdr:nvSpPr>
      <xdr:spPr>
        <a:xfrm>
          <a:off x="3448981"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2931459</xdr:colOff>
      <xdr:row>0</xdr:row>
      <xdr:rowOff>11206</xdr:rowOff>
    </xdr:from>
    <xdr:ext cx="651910" cy="327141"/>
    <xdr:sp macro="" textlink="">
      <xdr:nvSpPr>
        <xdr:cNvPr id="8" name="Rectangle 7">
          <a:hlinkClick xmlns:r="http://schemas.openxmlformats.org/officeDocument/2006/relationships" r:id="rId7"/>
        </xdr:cNvPr>
        <xdr:cNvSpPr/>
      </xdr:nvSpPr>
      <xdr:spPr>
        <a:xfrm>
          <a:off x="4119283"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3</xdr:col>
      <xdr:colOff>96683</xdr:colOff>
      <xdr:row>0</xdr:row>
      <xdr:rowOff>41055</xdr:rowOff>
    </xdr:from>
    <xdr:ext cx="754887" cy="327141"/>
    <xdr:sp macro="" textlink="">
      <xdr:nvSpPr>
        <xdr:cNvPr id="2" name="Rectangle 1">
          <a:hlinkClick xmlns:r="http://schemas.openxmlformats.org/officeDocument/2006/relationships" r:id="rId1"/>
        </xdr:cNvPr>
        <xdr:cNvSpPr/>
      </xdr:nvSpPr>
      <xdr:spPr>
        <a:xfrm>
          <a:off x="1284507" y="41055"/>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123265</xdr:colOff>
      <xdr:row>0</xdr:row>
      <xdr:rowOff>36573</xdr:rowOff>
    </xdr:from>
    <xdr:ext cx="647933" cy="327141"/>
    <xdr:sp macro="" textlink="">
      <xdr:nvSpPr>
        <xdr:cNvPr id="3" name="Rectangle 2">
          <a:hlinkClick xmlns:r="http://schemas.openxmlformats.org/officeDocument/2006/relationships" r:id="rId2"/>
        </xdr:cNvPr>
        <xdr:cNvSpPr/>
      </xdr:nvSpPr>
      <xdr:spPr>
        <a:xfrm>
          <a:off x="537883" y="36573"/>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3587172</xdr:colOff>
      <xdr:row>0</xdr:row>
      <xdr:rowOff>25368</xdr:rowOff>
    </xdr:from>
    <xdr:ext cx="1160831" cy="327141"/>
    <xdr:sp macro="" textlink="">
      <xdr:nvSpPr>
        <xdr:cNvPr id="4" name="Rectangle 3">
          <a:hlinkClick xmlns:r="http://schemas.openxmlformats.org/officeDocument/2006/relationships" r:id="rId3"/>
        </xdr:cNvPr>
        <xdr:cNvSpPr/>
      </xdr:nvSpPr>
      <xdr:spPr>
        <a:xfrm>
          <a:off x="4774996" y="25368"/>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956044</xdr:colOff>
      <xdr:row>0</xdr:row>
      <xdr:rowOff>22413</xdr:rowOff>
    </xdr:from>
    <xdr:ext cx="647806" cy="327141"/>
    <xdr:sp macro="" textlink="">
      <xdr:nvSpPr>
        <xdr:cNvPr id="5" name="Rectangle 4">
          <a:hlinkClick xmlns:r="http://schemas.openxmlformats.org/officeDocument/2006/relationships" r:id="rId4"/>
        </xdr:cNvPr>
        <xdr:cNvSpPr/>
      </xdr:nvSpPr>
      <xdr:spPr>
        <a:xfrm>
          <a:off x="2143868" y="22413"/>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1683406</xdr:colOff>
      <xdr:row>0</xdr:row>
      <xdr:rowOff>22412</xdr:rowOff>
    </xdr:from>
    <xdr:ext cx="551241" cy="327141"/>
    <xdr:sp macro="" textlink="">
      <xdr:nvSpPr>
        <xdr:cNvPr id="6" name="Rectangle 5">
          <a:hlinkClick xmlns:r="http://schemas.openxmlformats.org/officeDocument/2006/relationships" r:id="rId5"/>
        </xdr:cNvPr>
        <xdr:cNvSpPr/>
      </xdr:nvSpPr>
      <xdr:spPr>
        <a:xfrm>
          <a:off x="2871230" y="22412"/>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2261158</xdr:colOff>
      <xdr:row>0</xdr:row>
      <xdr:rowOff>22412</xdr:rowOff>
    </xdr:from>
    <xdr:ext cx="635302" cy="327141"/>
    <xdr:sp macro="" textlink="">
      <xdr:nvSpPr>
        <xdr:cNvPr id="7" name="Rectangle 6">
          <a:hlinkClick xmlns:r="http://schemas.openxmlformats.org/officeDocument/2006/relationships" r:id="rId6"/>
        </xdr:cNvPr>
        <xdr:cNvSpPr/>
      </xdr:nvSpPr>
      <xdr:spPr>
        <a:xfrm>
          <a:off x="3448982" y="22412"/>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2931460</xdr:colOff>
      <xdr:row>0</xdr:row>
      <xdr:rowOff>22412</xdr:rowOff>
    </xdr:from>
    <xdr:ext cx="651910" cy="327141"/>
    <xdr:sp macro="" textlink="">
      <xdr:nvSpPr>
        <xdr:cNvPr id="8" name="Rectangle 7">
          <a:hlinkClick xmlns:r="http://schemas.openxmlformats.org/officeDocument/2006/relationships" r:id="rId7"/>
        </xdr:cNvPr>
        <xdr:cNvSpPr/>
      </xdr:nvSpPr>
      <xdr:spPr>
        <a:xfrm>
          <a:off x="4119284" y="22412"/>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3</xdr:col>
      <xdr:colOff>29448</xdr:colOff>
      <xdr:row>0</xdr:row>
      <xdr:rowOff>29849</xdr:rowOff>
    </xdr:from>
    <xdr:ext cx="754887" cy="327141"/>
    <xdr:sp macro="" textlink="">
      <xdr:nvSpPr>
        <xdr:cNvPr id="2" name="Rectangle 1">
          <a:hlinkClick xmlns:r="http://schemas.openxmlformats.org/officeDocument/2006/relationships" r:id="rId1"/>
        </xdr:cNvPr>
        <xdr:cNvSpPr/>
      </xdr:nvSpPr>
      <xdr:spPr>
        <a:xfrm>
          <a:off x="1217272" y="29849"/>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2</xdr:col>
      <xdr:colOff>56030</xdr:colOff>
      <xdr:row>0</xdr:row>
      <xdr:rowOff>25367</xdr:rowOff>
    </xdr:from>
    <xdr:ext cx="647933" cy="327141"/>
    <xdr:sp macro="" textlink="">
      <xdr:nvSpPr>
        <xdr:cNvPr id="3" name="Rectangle 2">
          <a:hlinkClick xmlns:r="http://schemas.openxmlformats.org/officeDocument/2006/relationships" r:id="rId2"/>
        </xdr:cNvPr>
        <xdr:cNvSpPr/>
      </xdr:nvSpPr>
      <xdr:spPr>
        <a:xfrm>
          <a:off x="470648" y="25367"/>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3</xdr:col>
      <xdr:colOff>3519937</xdr:colOff>
      <xdr:row>0</xdr:row>
      <xdr:rowOff>14162</xdr:rowOff>
    </xdr:from>
    <xdr:ext cx="1160831" cy="327141"/>
    <xdr:sp macro="" textlink="">
      <xdr:nvSpPr>
        <xdr:cNvPr id="4" name="Rectangle 3">
          <a:hlinkClick xmlns:r="http://schemas.openxmlformats.org/officeDocument/2006/relationships" r:id="rId3"/>
        </xdr:cNvPr>
        <xdr:cNvSpPr/>
      </xdr:nvSpPr>
      <xdr:spPr>
        <a:xfrm>
          <a:off x="4707761" y="14162"/>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3</xdr:col>
      <xdr:colOff>888809</xdr:colOff>
      <xdr:row>0</xdr:row>
      <xdr:rowOff>11207</xdr:rowOff>
    </xdr:from>
    <xdr:ext cx="647806" cy="327141"/>
    <xdr:sp macro="" textlink="">
      <xdr:nvSpPr>
        <xdr:cNvPr id="5" name="Rectangle 4">
          <a:hlinkClick xmlns:r="http://schemas.openxmlformats.org/officeDocument/2006/relationships" r:id="rId4"/>
        </xdr:cNvPr>
        <xdr:cNvSpPr/>
      </xdr:nvSpPr>
      <xdr:spPr>
        <a:xfrm>
          <a:off x="2076633" y="11207"/>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3</xdr:col>
      <xdr:colOff>1616171</xdr:colOff>
      <xdr:row>0</xdr:row>
      <xdr:rowOff>11206</xdr:rowOff>
    </xdr:from>
    <xdr:ext cx="551241" cy="327141"/>
    <xdr:sp macro="" textlink="">
      <xdr:nvSpPr>
        <xdr:cNvPr id="6" name="Rectangle 5">
          <a:hlinkClick xmlns:r="http://schemas.openxmlformats.org/officeDocument/2006/relationships" r:id="rId5"/>
        </xdr:cNvPr>
        <xdr:cNvSpPr/>
      </xdr:nvSpPr>
      <xdr:spPr>
        <a:xfrm>
          <a:off x="2803995" y="11206"/>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3</xdr:col>
      <xdr:colOff>2193923</xdr:colOff>
      <xdr:row>0</xdr:row>
      <xdr:rowOff>11206</xdr:rowOff>
    </xdr:from>
    <xdr:ext cx="635302" cy="327141"/>
    <xdr:sp macro="" textlink="">
      <xdr:nvSpPr>
        <xdr:cNvPr id="7" name="Rectangle 6">
          <a:hlinkClick xmlns:r="http://schemas.openxmlformats.org/officeDocument/2006/relationships" r:id="rId6"/>
        </xdr:cNvPr>
        <xdr:cNvSpPr/>
      </xdr:nvSpPr>
      <xdr:spPr>
        <a:xfrm>
          <a:off x="3381747" y="11206"/>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3</xdr:col>
      <xdr:colOff>2864225</xdr:colOff>
      <xdr:row>0</xdr:row>
      <xdr:rowOff>11206</xdr:rowOff>
    </xdr:from>
    <xdr:ext cx="651910" cy="327141"/>
    <xdr:sp macro="" textlink="">
      <xdr:nvSpPr>
        <xdr:cNvPr id="8" name="Rectangle 7">
          <a:hlinkClick xmlns:r="http://schemas.openxmlformats.org/officeDocument/2006/relationships" r:id="rId7"/>
        </xdr:cNvPr>
        <xdr:cNvSpPr/>
      </xdr:nvSpPr>
      <xdr:spPr>
        <a:xfrm>
          <a:off x="4052049" y="11206"/>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5</xdr:col>
      <xdr:colOff>171450</xdr:colOff>
      <xdr:row>42</xdr:row>
      <xdr:rowOff>0</xdr:rowOff>
    </xdr:from>
    <xdr:to>
      <xdr:col>7</xdr:col>
      <xdr:colOff>609600</xdr:colOff>
      <xdr:row>42</xdr:row>
      <xdr:rowOff>0</xdr:rowOff>
    </xdr:to>
    <xdr:sp macro="" textlink="">
      <xdr:nvSpPr>
        <xdr:cNvPr id="2" name="Straight Connector 3"/>
        <xdr:cNvSpPr>
          <a:spLocks noChangeShapeType="1"/>
        </xdr:cNvSpPr>
      </xdr:nvSpPr>
      <xdr:spPr bwMode="auto">
        <a:xfrm flipV="1">
          <a:off x="3390900" y="4476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371476</xdr:colOff>
      <xdr:row>43</xdr:row>
      <xdr:rowOff>0</xdr:rowOff>
    </xdr:from>
    <xdr:to>
      <xdr:col>3</xdr:col>
      <xdr:colOff>352426</xdr:colOff>
      <xdr:row>43</xdr:row>
      <xdr:rowOff>0</xdr:rowOff>
    </xdr:to>
    <xdr:sp macro="" textlink="">
      <xdr:nvSpPr>
        <xdr:cNvPr id="3" name="Straight Connector 4"/>
        <xdr:cNvSpPr>
          <a:spLocks noChangeShapeType="1"/>
        </xdr:cNvSpPr>
      </xdr:nvSpPr>
      <xdr:spPr bwMode="auto">
        <a:xfrm>
          <a:off x="371476" y="657225"/>
          <a:ext cx="1676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157</xdr:row>
      <xdr:rowOff>0</xdr:rowOff>
    </xdr:from>
    <xdr:to>
      <xdr:col>7</xdr:col>
      <xdr:colOff>609600</xdr:colOff>
      <xdr:row>157</xdr:row>
      <xdr:rowOff>0</xdr:rowOff>
    </xdr:to>
    <xdr:sp macro="" textlink="">
      <xdr:nvSpPr>
        <xdr:cNvPr id="4" name="Straight Connector 3"/>
        <xdr:cNvSpPr>
          <a:spLocks noChangeShapeType="1"/>
        </xdr:cNvSpPr>
      </xdr:nvSpPr>
      <xdr:spPr bwMode="auto">
        <a:xfrm flipV="1">
          <a:off x="3390900" y="18554700"/>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371476</xdr:colOff>
      <xdr:row>158</xdr:row>
      <xdr:rowOff>0</xdr:rowOff>
    </xdr:from>
    <xdr:to>
      <xdr:col>3</xdr:col>
      <xdr:colOff>371476</xdr:colOff>
      <xdr:row>158</xdr:row>
      <xdr:rowOff>0</xdr:rowOff>
    </xdr:to>
    <xdr:sp macro="" textlink="">
      <xdr:nvSpPr>
        <xdr:cNvPr id="5" name="Straight Connector 4"/>
        <xdr:cNvSpPr>
          <a:spLocks noChangeShapeType="1"/>
        </xdr:cNvSpPr>
      </xdr:nvSpPr>
      <xdr:spPr bwMode="auto">
        <a:xfrm>
          <a:off x="371476" y="18764250"/>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282</xdr:row>
      <xdr:rowOff>0</xdr:rowOff>
    </xdr:from>
    <xdr:to>
      <xdr:col>7</xdr:col>
      <xdr:colOff>609600</xdr:colOff>
      <xdr:row>282</xdr:row>
      <xdr:rowOff>0</xdr:rowOff>
    </xdr:to>
    <xdr:sp macro="" textlink="">
      <xdr:nvSpPr>
        <xdr:cNvPr id="6" name="Straight Connector 5"/>
        <xdr:cNvSpPr>
          <a:spLocks noChangeShapeType="1"/>
        </xdr:cNvSpPr>
      </xdr:nvSpPr>
      <xdr:spPr bwMode="auto">
        <a:xfrm flipV="1">
          <a:off x="3390900" y="3711892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283</xdr:row>
      <xdr:rowOff>0</xdr:rowOff>
    </xdr:from>
    <xdr:to>
      <xdr:col>3</xdr:col>
      <xdr:colOff>361950</xdr:colOff>
      <xdr:row>283</xdr:row>
      <xdr:rowOff>0</xdr:rowOff>
    </xdr:to>
    <xdr:sp macro="" textlink="">
      <xdr:nvSpPr>
        <xdr:cNvPr id="7" name="Straight Connector 6"/>
        <xdr:cNvSpPr>
          <a:spLocks noChangeShapeType="1"/>
        </xdr:cNvSpPr>
      </xdr:nvSpPr>
      <xdr:spPr bwMode="auto">
        <a:xfrm>
          <a:off x="371475" y="37328475"/>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401</xdr:row>
      <xdr:rowOff>0</xdr:rowOff>
    </xdr:from>
    <xdr:to>
      <xdr:col>7</xdr:col>
      <xdr:colOff>609600</xdr:colOff>
      <xdr:row>401</xdr:row>
      <xdr:rowOff>0</xdr:rowOff>
    </xdr:to>
    <xdr:sp macro="" textlink="">
      <xdr:nvSpPr>
        <xdr:cNvPr id="8" name="Straight Connector 7"/>
        <xdr:cNvSpPr>
          <a:spLocks noChangeShapeType="1"/>
        </xdr:cNvSpPr>
      </xdr:nvSpPr>
      <xdr:spPr bwMode="auto">
        <a:xfrm flipV="1">
          <a:off x="3390900" y="55187850"/>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402</xdr:row>
      <xdr:rowOff>0</xdr:rowOff>
    </xdr:from>
    <xdr:to>
      <xdr:col>3</xdr:col>
      <xdr:colOff>361950</xdr:colOff>
      <xdr:row>402</xdr:row>
      <xdr:rowOff>0</xdr:rowOff>
    </xdr:to>
    <xdr:sp macro="" textlink="">
      <xdr:nvSpPr>
        <xdr:cNvPr id="9" name="Straight Connector 8"/>
        <xdr:cNvSpPr>
          <a:spLocks noChangeShapeType="1"/>
        </xdr:cNvSpPr>
      </xdr:nvSpPr>
      <xdr:spPr bwMode="auto">
        <a:xfrm>
          <a:off x="371475" y="55397400"/>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523</xdr:row>
      <xdr:rowOff>0</xdr:rowOff>
    </xdr:from>
    <xdr:to>
      <xdr:col>7</xdr:col>
      <xdr:colOff>609600</xdr:colOff>
      <xdr:row>523</xdr:row>
      <xdr:rowOff>0</xdr:rowOff>
    </xdr:to>
    <xdr:sp macro="" textlink="">
      <xdr:nvSpPr>
        <xdr:cNvPr id="10" name="Straight Connector 9"/>
        <xdr:cNvSpPr>
          <a:spLocks noChangeShapeType="1"/>
        </xdr:cNvSpPr>
      </xdr:nvSpPr>
      <xdr:spPr bwMode="auto">
        <a:xfrm flipV="1">
          <a:off x="3390900" y="735234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371476</xdr:colOff>
      <xdr:row>524</xdr:row>
      <xdr:rowOff>0</xdr:rowOff>
    </xdr:from>
    <xdr:to>
      <xdr:col>3</xdr:col>
      <xdr:colOff>352426</xdr:colOff>
      <xdr:row>524</xdr:row>
      <xdr:rowOff>0</xdr:rowOff>
    </xdr:to>
    <xdr:sp macro="" textlink="">
      <xdr:nvSpPr>
        <xdr:cNvPr id="11" name="Straight Connector 10"/>
        <xdr:cNvSpPr>
          <a:spLocks noChangeShapeType="1"/>
        </xdr:cNvSpPr>
      </xdr:nvSpPr>
      <xdr:spPr bwMode="auto">
        <a:xfrm>
          <a:off x="371476" y="73733025"/>
          <a:ext cx="1676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603</xdr:row>
      <xdr:rowOff>0</xdr:rowOff>
    </xdr:from>
    <xdr:to>
      <xdr:col>7</xdr:col>
      <xdr:colOff>609600</xdr:colOff>
      <xdr:row>603</xdr:row>
      <xdr:rowOff>0</xdr:rowOff>
    </xdr:to>
    <xdr:sp macro="" textlink="">
      <xdr:nvSpPr>
        <xdr:cNvPr id="12" name="Straight Connector 11"/>
        <xdr:cNvSpPr>
          <a:spLocks noChangeShapeType="1"/>
        </xdr:cNvSpPr>
      </xdr:nvSpPr>
      <xdr:spPr bwMode="auto">
        <a:xfrm flipV="1">
          <a:off x="3390900" y="9186862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371476</xdr:colOff>
      <xdr:row>604</xdr:row>
      <xdr:rowOff>0</xdr:rowOff>
    </xdr:from>
    <xdr:to>
      <xdr:col>3</xdr:col>
      <xdr:colOff>371476</xdr:colOff>
      <xdr:row>604</xdr:row>
      <xdr:rowOff>0</xdr:rowOff>
    </xdr:to>
    <xdr:sp macro="" textlink="">
      <xdr:nvSpPr>
        <xdr:cNvPr id="13" name="Straight Connector 12"/>
        <xdr:cNvSpPr>
          <a:spLocks noChangeShapeType="1"/>
        </xdr:cNvSpPr>
      </xdr:nvSpPr>
      <xdr:spPr bwMode="auto">
        <a:xfrm>
          <a:off x="371476" y="9207817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823</xdr:row>
      <xdr:rowOff>0</xdr:rowOff>
    </xdr:from>
    <xdr:to>
      <xdr:col>7</xdr:col>
      <xdr:colOff>609600</xdr:colOff>
      <xdr:row>823</xdr:row>
      <xdr:rowOff>0</xdr:rowOff>
    </xdr:to>
    <xdr:sp macro="" textlink="">
      <xdr:nvSpPr>
        <xdr:cNvPr id="14" name="Straight Connector 13"/>
        <xdr:cNvSpPr>
          <a:spLocks noChangeShapeType="1"/>
        </xdr:cNvSpPr>
      </xdr:nvSpPr>
      <xdr:spPr bwMode="auto">
        <a:xfrm flipV="1">
          <a:off x="3390900" y="1105566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824</xdr:row>
      <xdr:rowOff>0</xdr:rowOff>
    </xdr:from>
    <xdr:to>
      <xdr:col>3</xdr:col>
      <xdr:colOff>361950</xdr:colOff>
      <xdr:row>824</xdr:row>
      <xdr:rowOff>0</xdr:rowOff>
    </xdr:to>
    <xdr:sp macro="" textlink="">
      <xdr:nvSpPr>
        <xdr:cNvPr id="15" name="Straight Connector 14"/>
        <xdr:cNvSpPr>
          <a:spLocks noChangeShapeType="1"/>
        </xdr:cNvSpPr>
      </xdr:nvSpPr>
      <xdr:spPr bwMode="auto">
        <a:xfrm>
          <a:off x="371475" y="110766225"/>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724</xdr:row>
      <xdr:rowOff>0</xdr:rowOff>
    </xdr:from>
    <xdr:to>
      <xdr:col>7</xdr:col>
      <xdr:colOff>609600</xdr:colOff>
      <xdr:row>724</xdr:row>
      <xdr:rowOff>0</xdr:rowOff>
    </xdr:to>
    <xdr:sp macro="" textlink="">
      <xdr:nvSpPr>
        <xdr:cNvPr id="16" name="Straight Connector 15"/>
        <xdr:cNvSpPr>
          <a:spLocks noChangeShapeType="1"/>
        </xdr:cNvSpPr>
      </xdr:nvSpPr>
      <xdr:spPr bwMode="auto">
        <a:xfrm flipV="1">
          <a:off x="3305175" y="39262050"/>
          <a:ext cx="2095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725</xdr:row>
      <xdr:rowOff>0</xdr:rowOff>
    </xdr:from>
    <xdr:to>
      <xdr:col>3</xdr:col>
      <xdr:colOff>361950</xdr:colOff>
      <xdr:row>725</xdr:row>
      <xdr:rowOff>0</xdr:rowOff>
    </xdr:to>
    <xdr:sp macro="" textlink="">
      <xdr:nvSpPr>
        <xdr:cNvPr id="17" name="Straight Connector 16"/>
        <xdr:cNvSpPr>
          <a:spLocks noChangeShapeType="1"/>
        </xdr:cNvSpPr>
      </xdr:nvSpPr>
      <xdr:spPr bwMode="auto">
        <a:xfrm>
          <a:off x="371475" y="39471600"/>
          <a:ext cx="1733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200025</xdr:colOff>
      <xdr:row>4</xdr:row>
      <xdr:rowOff>208280</xdr:rowOff>
    </xdr:from>
    <xdr:to>
      <xdr:col>2</xdr:col>
      <xdr:colOff>600075</xdr:colOff>
      <xdr:row>4</xdr:row>
      <xdr:rowOff>208280</xdr:rowOff>
    </xdr:to>
    <xdr:cxnSp macro="">
      <xdr:nvCxnSpPr>
        <xdr:cNvPr id="18" name="Straight Connector 17"/>
        <xdr:cNvCxnSpPr>
          <a:cxnSpLocks noChangeShapeType="1"/>
        </xdr:cNvCxnSpPr>
      </xdr:nvCxnSpPr>
      <xdr:spPr bwMode="auto">
        <a:xfrm>
          <a:off x="200025" y="1036955"/>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3</xdr:row>
      <xdr:rowOff>224155</xdr:rowOff>
    </xdr:from>
    <xdr:to>
      <xdr:col>7</xdr:col>
      <xdr:colOff>609600</xdr:colOff>
      <xdr:row>3</xdr:row>
      <xdr:rowOff>224155</xdr:rowOff>
    </xdr:to>
    <xdr:cxnSp macro="">
      <xdr:nvCxnSpPr>
        <xdr:cNvPr id="19" name="AutoShape 3"/>
        <xdr:cNvCxnSpPr>
          <a:cxnSpLocks noChangeShapeType="1"/>
        </xdr:cNvCxnSpPr>
      </xdr:nvCxnSpPr>
      <xdr:spPr bwMode="auto">
        <a:xfrm>
          <a:off x="3258185" y="814705"/>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119</xdr:row>
      <xdr:rowOff>208280</xdr:rowOff>
    </xdr:from>
    <xdr:to>
      <xdr:col>2</xdr:col>
      <xdr:colOff>600075</xdr:colOff>
      <xdr:row>119</xdr:row>
      <xdr:rowOff>208280</xdr:rowOff>
    </xdr:to>
    <xdr:cxnSp macro="">
      <xdr:nvCxnSpPr>
        <xdr:cNvPr id="23" name="Straight Connector 22"/>
        <xdr:cNvCxnSpPr>
          <a:cxnSpLocks noChangeShapeType="1"/>
        </xdr:cNvCxnSpPr>
      </xdr:nvCxnSpPr>
      <xdr:spPr bwMode="auto">
        <a:xfrm>
          <a:off x="200025" y="1036955"/>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118</xdr:row>
      <xdr:rowOff>224155</xdr:rowOff>
    </xdr:from>
    <xdr:to>
      <xdr:col>7</xdr:col>
      <xdr:colOff>609600</xdr:colOff>
      <xdr:row>118</xdr:row>
      <xdr:rowOff>224155</xdr:rowOff>
    </xdr:to>
    <xdr:cxnSp macro="">
      <xdr:nvCxnSpPr>
        <xdr:cNvPr id="24" name="AutoShape 3"/>
        <xdr:cNvCxnSpPr>
          <a:cxnSpLocks noChangeShapeType="1"/>
        </xdr:cNvCxnSpPr>
      </xdr:nvCxnSpPr>
      <xdr:spPr bwMode="auto">
        <a:xfrm>
          <a:off x="3258185" y="814705"/>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244</xdr:row>
      <xdr:rowOff>208280</xdr:rowOff>
    </xdr:from>
    <xdr:to>
      <xdr:col>2</xdr:col>
      <xdr:colOff>600075</xdr:colOff>
      <xdr:row>244</xdr:row>
      <xdr:rowOff>208280</xdr:rowOff>
    </xdr:to>
    <xdr:cxnSp macro="">
      <xdr:nvCxnSpPr>
        <xdr:cNvPr id="25" name="Straight Connector 24"/>
        <xdr:cNvCxnSpPr>
          <a:cxnSpLocks noChangeShapeType="1"/>
        </xdr:cNvCxnSpPr>
      </xdr:nvCxnSpPr>
      <xdr:spPr bwMode="auto">
        <a:xfrm>
          <a:off x="200025" y="28221305"/>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243</xdr:row>
      <xdr:rowOff>224155</xdr:rowOff>
    </xdr:from>
    <xdr:to>
      <xdr:col>7</xdr:col>
      <xdr:colOff>609600</xdr:colOff>
      <xdr:row>243</xdr:row>
      <xdr:rowOff>224155</xdr:rowOff>
    </xdr:to>
    <xdr:cxnSp macro="">
      <xdr:nvCxnSpPr>
        <xdr:cNvPr id="26" name="AutoShape 3"/>
        <xdr:cNvCxnSpPr>
          <a:cxnSpLocks noChangeShapeType="1"/>
        </xdr:cNvCxnSpPr>
      </xdr:nvCxnSpPr>
      <xdr:spPr bwMode="auto">
        <a:xfrm>
          <a:off x="3258185" y="27999055"/>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363</xdr:row>
      <xdr:rowOff>208280</xdr:rowOff>
    </xdr:from>
    <xdr:to>
      <xdr:col>2</xdr:col>
      <xdr:colOff>600075</xdr:colOff>
      <xdr:row>363</xdr:row>
      <xdr:rowOff>208280</xdr:rowOff>
    </xdr:to>
    <xdr:cxnSp macro="">
      <xdr:nvCxnSpPr>
        <xdr:cNvPr id="27" name="Straight Connector 26"/>
        <xdr:cNvCxnSpPr>
          <a:cxnSpLocks noChangeShapeType="1"/>
        </xdr:cNvCxnSpPr>
      </xdr:nvCxnSpPr>
      <xdr:spPr bwMode="auto">
        <a:xfrm>
          <a:off x="200025" y="55700930"/>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362</xdr:row>
      <xdr:rowOff>224155</xdr:rowOff>
    </xdr:from>
    <xdr:to>
      <xdr:col>7</xdr:col>
      <xdr:colOff>609600</xdr:colOff>
      <xdr:row>362</xdr:row>
      <xdr:rowOff>224155</xdr:rowOff>
    </xdr:to>
    <xdr:cxnSp macro="">
      <xdr:nvCxnSpPr>
        <xdr:cNvPr id="28" name="AutoShape 3"/>
        <xdr:cNvCxnSpPr>
          <a:cxnSpLocks noChangeShapeType="1"/>
        </xdr:cNvCxnSpPr>
      </xdr:nvCxnSpPr>
      <xdr:spPr bwMode="auto">
        <a:xfrm>
          <a:off x="3258185" y="55478680"/>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485</xdr:row>
      <xdr:rowOff>208280</xdr:rowOff>
    </xdr:from>
    <xdr:to>
      <xdr:col>2</xdr:col>
      <xdr:colOff>600075</xdr:colOff>
      <xdr:row>485</xdr:row>
      <xdr:rowOff>208280</xdr:rowOff>
    </xdr:to>
    <xdr:cxnSp macro="">
      <xdr:nvCxnSpPr>
        <xdr:cNvPr id="29" name="Straight Connector 28"/>
        <xdr:cNvCxnSpPr>
          <a:cxnSpLocks noChangeShapeType="1"/>
        </xdr:cNvCxnSpPr>
      </xdr:nvCxnSpPr>
      <xdr:spPr bwMode="auto">
        <a:xfrm>
          <a:off x="200025" y="82999580"/>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484</xdr:row>
      <xdr:rowOff>224155</xdr:rowOff>
    </xdr:from>
    <xdr:to>
      <xdr:col>7</xdr:col>
      <xdr:colOff>609600</xdr:colOff>
      <xdr:row>484</xdr:row>
      <xdr:rowOff>224155</xdr:rowOff>
    </xdr:to>
    <xdr:cxnSp macro="">
      <xdr:nvCxnSpPr>
        <xdr:cNvPr id="30" name="AutoShape 3"/>
        <xdr:cNvCxnSpPr>
          <a:cxnSpLocks noChangeShapeType="1"/>
        </xdr:cNvCxnSpPr>
      </xdr:nvCxnSpPr>
      <xdr:spPr bwMode="auto">
        <a:xfrm>
          <a:off x="3258185" y="82777330"/>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686</xdr:row>
      <xdr:rowOff>208280</xdr:rowOff>
    </xdr:from>
    <xdr:to>
      <xdr:col>2</xdr:col>
      <xdr:colOff>600075</xdr:colOff>
      <xdr:row>686</xdr:row>
      <xdr:rowOff>208280</xdr:rowOff>
    </xdr:to>
    <xdr:cxnSp macro="">
      <xdr:nvCxnSpPr>
        <xdr:cNvPr id="31" name="Straight Connector 30"/>
        <xdr:cNvCxnSpPr>
          <a:cxnSpLocks noChangeShapeType="1"/>
        </xdr:cNvCxnSpPr>
      </xdr:nvCxnSpPr>
      <xdr:spPr bwMode="auto">
        <a:xfrm>
          <a:off x="200025" y="110526830"/>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685</xdr:row>
      <xdr:rowOff>224155</xdr:rowOff>
    </xdr:from>
    <xdr:to>
      <xdr:col>7</xdr:col>
      <xdr:colOff>609600</xdr:colOff>
      <xdr:row>685</xdr:row>
      <xdr:rowOff>224155</xdr:rowOff>
    </xdr:to>
    <xdr:cxnSp macro="">
      <xdr:nvCxnSpPr>
        <xdr:cNvPr id="32" name="AutoShape 3"/>
        <xdr:cNvCxnSpPr>
          <a:cxnSpLocks noChangeShapeType="1"/>
        </xdr:cNvCxnSpPr>
      </xdr:nvCxnSpPr>
      <xdr:spPr bwMode="auto">
        <a:xfrm>
          <a:off x="3258185" y="110304580"/>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785</xdr:row>
      <xdr:rowOff>208280</xdr:rowOff>
    </xdr:from>
    <xdr:to>
      <xdr:col>2</xdr:col>
      <xdr:colOff>600075</xdr:colOff>
      <xdr:row>785</xdr:row>
      <xdr:rowOff>208280</xdr:rowOff>
    </xdr:to>
    <xdr:cxnSp macro="">
      <xdr:nvCxnSpPr>
        <xdr:cNvPr id="33" name="Straight Connector 32"/>
        <xdr:cNvCxnSpPr>
          <a:cxnSpLocks noChangeShapeType="1"/>
        </xdr:cNvCxnSpPr>
      </xdr:nvCxnSpPr>
      <xdr:spPr bwMode="auto">
        <a:xfrm>
          <a:off x="200025" y="155665805"/>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784</xdr:row>
      <xdr:rowOff>224155</xdr:rowOff>
    </xdr:from>
    <xdr:to>
      <xdr:col>7</xdr:col>
      <xdr:colOff>609600</xdr:colOff>
      <xdr:row>784</xdr:row>
      <xdr:rowOff>224155</xdr:rowOff>
    </xdr:to>
    <xdr:cxnSp macro="">
      <xdr:nvCxnSpPr>
        <xdr:cNvPr id="34" name="AutoShape 3"/>
        <xdr:cNvCxnSpPr>
          <a:cxnSpLocks noChangeShapeType="1"/>
        </xdr:cNvCxnSpPr>
      </xdr:nvCxnSpPr>
      <xdr:spPr bwMode="auto">
        <a:xfrm>
          <a:off x="3258185" y="155443555"/>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mc:AlternateContent xmlns:mc="http://schemas.openxmlformats.org/markup-compatibility/2006">
    <mc:Choice xmlns:a14="http://schemas.microsoft.com/office/drawing/2010/main" Requires="a14">
      <xdr:twoCellAnchor>
        <xdr:from>
          <xdr:col>0</xdr:col>
          <xdr:colOff>57150</xdr:colOff>
          <xdr:row>0</xdr:row>
          <xdr:rowOff>19050</xdr:rowOff>
        </xdr:from>
        <xdr:to>
          <xdr:col>0</xdr:col>
          <xdr:colOff>400050</xdr:colOff>
          <xdr:row>1</xdr:row>
          <xdr:rowOff>152400</xdr:rowOff>
        </xdr:to>
        <xdr:sp macro="" textlink="">
          <xdr:nvSpPr>
            <xdr:cNvPr id="16385" name="Spinner 1" hidden="1">
              <a:extLst>
                <a:ext uri="{63B3BB69-23CF-44E3-9099-C40C66FF867C}">
                  <a14:compatExt spid="_x0000_s16385"/>
                </a:ext>
              </a:extLst>
            </xdr:cNvPr>
            <xdr:cNvSpPr/>
          </xdr:nvSpPr>
          <xdr:spPr>
            <a:xfrm>
              <a:off x="0" y="0"/>
              <a:ext cx="0" cy="0"/>
            </a:xfrm>
            <a:prstGeom prst="rect">
              <a:avLst/>
            </a:prstGeom>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5</xdr:col>
      <xdr:colOff>171450</xdr:colOff>
      <xdr:row>43</xdr:row>
      <xdr:rowOff>0</xdr:rowOff>
    </xdr:from>
    <xdr:to>
      <xdr:col>7</xdr:col>
      <xdr:colOff>609600</xdr:colOff>
      <xdr:row>43</xdr:row>
      <xdr:rowOff>0</xdr:rowOff>
    </xdr:to>
    <xdr:sp macro="" textlink="">
      <xdr:nvSpPr>
        <xdr:cNvPr id="2" name="Straight Connector 3"/>
        <xdr:cNvSpPr>
          <a:spLocks noChangeShapeType="1"/>
        </xdr:cNvSpPr>
      </xdr:nvSpPr>
      <xdr:spPr bwMode="auto">
        <a:xfrm flipV="1">
          <a:off x="3981450" y="4476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752476</xdr:colOff>
      <xdr:row>44</xdr:row>
      <xdr:rowOff>9525</xdr:rowOff>
    </xdr:from>
    <xdr:to>
      <xdr:col>2</xdr:col>
      <xdr:colOff>733426</xdr:colOff>
      <xdr:row>44</xdr:row>
      <xdr:rowOff>9525</xdr:rowOff>
    </xdr:to>
    <xdr:sp macro="" textlink="">
      <xdr:nvSpPr>
        <xdr:cNvPr id="3" name="Straight Connector 4"/>
        <xdr:cNvSpPr>
          <a:spLocks noChangeShapeType="1"/>
        </xdr:cNvSpPr>
      </xdr:nvSpPr>
      <xdr:spPr bwMode="auto">
        <a:xfrm>
          <a:off x="752476" y="666750"/>
          <a:ext cx="1504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43</xdr:row>
      <xdr:rowOff>0</xdr:rowOff>
    </xdr:from>
    <xdr:to>
      <xdr:col>7</xdr:col>
      <xdr:colOff>609600</xdr:colOff>
      <xdr:row>43</xdr:row>
      <xdr:rowOff>0</xdr:rowOff>
    </xdr:to>
    <xdr:sp macro="" textlink="">
      <xdr:nvSpPr>
        <xdr:cNvPr id="4" name="Straight Connector 3"/>
        <xdr:cNvSpPr>
          <a:spLocks noChangeShapeType="1"/>
        </xdr:cNvSpPr>
      </xdr:nvSpPr>
      <xdr:spPr bwMode="auto">
        <a:xfrm flipV="1">
          <a:off x="3981450" y="4476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157</xdr:row>
      <xdr:rowOff>0</xdr:rowOff>
    </xdr:from>
    <xdr:to>
      <xdr:col>7</xdr:col>
      <xdr:colOff>609600</xdr:colOff>
      <xdr:row>157</xdr:row>
      <xdr:rowOff>0</xdr:rowOff>
    </xdr:to>
    <xdr:sp macro="" textlink="">
      <xdr:nvSpPr>
        <xdr:cNvPr id="5" name="Straight Connector 3"/>
        <xdr:cNvSpPr>
          <a:spLocks noChangeShapeType="1"/>
        </xdr:cNvSpPr>
      </xdr:nvSpPr>
      <xdr:spPr bwMode="auto">
        <a:xfrm flipV="1">
          <a:off x="3981450" y="18973800"/>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752476</xdr:colOff>
      <xdr:row>158</xdr:row>
      <xdr:rowOff>9525</xdr:rowOff>
    </xdr:from>
    <xdr:to>
      <xdr:col>2</xdr:col>
      <xdr:colOff>733426</xdr:colOff>
      <xdr:row>158</xdr:row>
      <xdr:rowOff>9525</xdr:rowOff>
    </xdr:to>
    <xdr:sp macro="" textlink="">
      <xdr:nvSpPr>
        <xdr:cNvPr id="6" name="Straight Connector 4"/>
        <xdr:cNvSpPr>
          <a:spLocks noChangeShapeType="1"/>
        </xdr:cNvSpPr>
      </xdr:nvSpPr>
      <xdr:spPr bwMode="auto">
        <a:xfrm>
          <a:off x="752476" y="19192875"/>
          <a:ext cx="1504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157</xdr:row>
      <xdr:rowOff>0</xdr:rowOff>
    </xdr:from>
    <xdr:to>
      <xdr:col>7</xdr:col>
      <xdr:colOff>609600</xdr:colOff>
      <xdr:row>157</xdr:row>
      <xdr:rowOff>0</xdr:rowOff>
    </xdr:to>
    <xdr:sp macro="" textlink="">
      <xdr:nvSpPr>
        <xdr:cNvPr id="7" name="Straight Connector 6"/>
        <xdr:cNvSpPr>
          <a:spLocks noChangeShapeType="1"/>
        </xdr:cNvSpPr>
      </xdr:nvSpPr>
      <xdr:spPr bwMode="auto">
        <a:xfrm flipV="1">
          <a:off x="3981450" y="18973800"/>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281</xdr:row>
      <xdr:rowOff>0</xdr:rowOff>
    </xdr:from>
    <xdr:to>
      <xdr:col>7</xdr:col>
      <xdr:colOff>609600</xdr:colOff>
      <xdr:row>281</xdr:row>
      <xdr:rowOff>0</xdr:rowOff>
    </xdr:to>
    <xdr:sp macro="" textlink="">
      <xdr:nvSpPr>
        <xdr:cNvPr id="8" name="Straight Connector 3"/>
        <xdr:cNvSpPr>
          <a:spLocks noChangeShapeType="1"/>
        </xdr:cNvSpPr>
      </xdr:nvSpPr>
      <xdr:spPr bwMode="auto">
        <a:xfrm flipV="1">
          <a:off x="3981450" y="385857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752476</xdr:colOff>
      <xdr:row>282</xdr:row>
      <xdr:rowOff>9525</xdr:rowOff>
    </xdr:from>
    <xdr:to>
      <xdr:col>2</xdr:col>
      <xdr:colOff>733426</xdr:colOff>
      <xdr:row>282</xdr:row>
      <xdr:rowOff>9525</xdr:rowOff>
    </xdr:to>
    <xdr:sp macro="" textlink="">
      <xdr:nvSpPr>
        <xdr:cNvPr id="9" name="Straight Connector 4"/>
        <xdr:cNvSpPr>
          <a:spLocks noChangeShapeType="1"/>
        </xdr:cNvSpPr>
      </xdr:nvSpPr>
      <xdr:spPr bwMode="auto">
        <a:xfrm>
          <a:off x="752476" y="38804850"/>
          <a:ext cx="1504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281</xdr:row>
      <xdr:rowOff>0</xdr:rowOff>
    </xdr:from>
    <xdr:to>
      <xdr:col>7</xdr:col>
      <xdr:colOff>609600</xdr:colOff>
      <xdr:row>281</xdr:row>
      <xdr:rowOff>0</xdr:rowOff>
    </xdr:to>
    <xdr:sp macro="" textlink="">
      <xdr:nvSpPr>
        <xdr:cNvPr id="10" name="Straight Connector 9"/>
        <xdr:cNvSpPr>
          <a:spLocks noChangeShapeType="1"/>
        </xdr:cNvSpPr>
      </xdr:nvSpPr>
      <xdr:spPr bwMode="auto">
        <a:xfrm flipV="1">
          <a:off x="3981450" y="38585775"/>
          <a:ext cx="196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200025</xdr:colOff>
      <xdr:row>5</xdr:row>
      <xdr:rowOff>208280</xdr:rowOff>
    </xdr:from>
    <xdr:to>
      <xdr:col>2</xdr:col>
      <xdr:colOff>600075</xdr:colOff>
      <xdr:row>5</xdr:row>
      <xdr:rowOff>208280</xdr:rowOff>
    </xdr:to>
    <xdr:cxnSp macro="">
      <xdr:nvCxnSpPr>
        <xdr:cNvPr id="11" name="Straight Connector 10"/>
        <xdr:cNvCxnSpPr>
          <a:cxnSpLocks noChangeShapeType="1"/>
        </xdr:cNvCxnSpPr>
      </xdr:nvCxnSpPr>
      <xdr:spPr bwMode="auto">
        <a:xfrm>
          <a:off x="200025" y="1036955"/>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4</xdr:row>
      <xdr:rowOff>224155</xdr:rowOff>
    </xdr:from>
    <xdr:to>
      <xdr:col>7</xdr:col>
      <xdr:colOff>609600</xdr:colOff>
      <xdr:row>4</xdr:row>
      <xdr:rowOff>224155</xdr:rowOff>
    </xdr:to>
    <xdr:cxnSp macro="">
      <xdr:nvCxnSpPr>
        <xdr:cNvPr id="12" name="AutoShape 3"/>
        <xdr:cNvCxnSpPr>
          <a:cxnSpLocks noChangeShapeType="1"/>
        </xdr:cNvCxnSpPr>
      </xdr:nvCxnSpPr>
      <xdr:spPr bwMode="auto">
        <a:xfrm>
          <a:off x="3258185" y="814705"/>
          <a:ext cx="214249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119</xdr:row>
      <xdr:rowOff>208280</xdr:rowOff>
    </xdr:from>
    <xdr:to>
      <xdr:col>2</xdr:col>
      <xdr:colOff>600075</xdr:colOff>
      <xdr:row>119</xdr:row>
      <xdr:rowOff>208280</xdr:rowOff>
    </xdr:to>
    <xdr:cxnSp macro="">
      <xdr:nvCxnSpPr>
        <xdr:cNvPr id="13" name="Straight Connector 12"/>
        <xdr:cNvCxnSpPr>
          <a:cxnSpLocks noChangeShapeType="1"/>
        </xdr:cNvCxnSpPr>
      </xdr:nvCxnSpPr>
      <xdr:spPr bwMode="auto">
        <a:xfrm>
          <a:off x="200025" y="1227455"/>
          <a:ext cx="1771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118</xdr:row>
      <xdr:rowOff>224155</xdr:rowOff>
    </xdr:from>
    <xdr:to>
      <xdr:col>7</xdr:col>
      <xdr:colOff>609600</xdr:colOff>
      <xdr:row>118</xdr:row>
      <xdr:rowOff>224155</xdr:rowOff>
    </xdr:to>
    <xdr:cxnSp macro="">
      <xdr:nvCxnSpPr>
        <xdr:cNvPr id="14" name="AutoShape 3"/>
        <xdr:cNvCxnSpPr>
          <a:cxnSpLocks noChangeShapeType="1"/>
        </xdr:cNvCxnSpPr>
      </xdr:nvCxnSpPr>
      <xdr:spPr bwMode="auto">
        <a:xfrm>
          <a:off x="3515360" y="1005205"/>
          <a:ext cx="1980565"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200025</xdr:colOff>
      <xdr:row>243</xdr:row>
      <xdr:rowOff>208280</xdr:rowOff>
    </xdr:from>
    <xdr:to>
      <xdr:col>2</xdr:col>
      <xdr:colOff>600075</xdr:colOff>
      <xdr:row>243</xdr:row>
      <xdr:rowOff>208280</xdr:rowOff>
    </xdr:to>
    <xdr:cxnSp macro="">
      <xdr:nvCxnSpPr>
        <xdr:cNvPr id="15" name="Straight Connector 14"/>
        <xdr:cNvCxnSpPr>
          <a:cxnSpLocks noChangeShapeType="1"/>
        </xdr:cNvCxnSpPr>
      </xdr:nvCxnSpPr>
      <xdr:spPr bwMode="auto">
        <a:xfrm>
          <a:off x="200025" y="27640280"/>
          <a:ext cx="1771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242</xdr:row>
      <xdr:rowOff>224155</xdr:rowOff>
    </xdr:from>
    <xdr:to>
      <xdr:col>7</xdr:col>
      <xdr:colOff>609600</xdr:colOff>
      <xdr:row>242</xdr:row>
      <xdr:rowOff>224155</xdr:rowOff>
    </xdr:to>
    <xdr:cxnSp macro="">
      <xdr:nvCxnSpPr>
        <xdr:cNvPr id="16" name="AutoShape 3"/>
        <xdr:cNvCxnSpPr>
          <a:cxnSpLocks noChangeShapeType="1"/>
        </xdr:cNvCxnSpPr>
      </xdr:nvCxnSpPr>
      <xdr:spPr bwMode="auto">
        <a:xfrm>
          <a:off x="3515360" y="27418030"/>
          <a:ext cx="1980565"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mc:AlternateContent xmlns:mc="http://schemas.openxmlformats.org/markup-compatibility/2006">
    <mc:Choice xmlns:a14="http://schemas.microsoft.com/office/drawing/2010/main" Requires="a14">
      <xdr:twoCellAnchor>
        <xdr:from>
          <xdr:col>2</xdr:col>
          <xdr:colOff>76200</xdr:colOff>
          <xdr:row>1</xdr:row>
          <xdr:rowOff>28575</xdr:rowOff>
        </xdr:from>
        <xdr:to>
          <xdr:col>2</xdr:col>
          <xdr:colOff>390525</xdr:colOff>
          <xdr:row>2</xdr:row>
          <xdr:rowOff>161925</xdr:rowOff>
        </xdr:to>
        <xdr:sp macro="" textlink="">
          <xdr:nvSpPr>
            <xdr:cNvPr id="17409" name="Spinner 1" hidden="1">
              <a:extLst>
                <a:ext uri="{63B3BB69-23CF-44E3-9099-C40C66FF867C}">
                  <a14:compatExt spid="_x0000_s17409"/>
                </a:ext>
              </a:extLst>
            </xdr:cNvPr>
            <xdr:cNvSpPr/>
          </xdr:nvSpPr>
          <xdr:spPr>
            <a:xfrm>
              <a:off x="0" y="0"/>
              <a:ext cx="0" cy="0"/>
            </a:xfrm>
            <a:prstGeom prst="rect">
              <a:avLst/>
            </a:prstGeom>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5</xdr:col>
      <xdr:colOff>171450</xdr:colOff>
      <xdr:row>41</xdr:row>
      <xdr:rowOff>0</xdr:rowOff>
    </xdr:from>
    <xdr:to>
      <xdr:col>7</xdr:col>
      <xdr:colOff>609600</xdr:colOff>
      <xdr:row>41</xdr:row>
      <xdr:rowOff>0</xdr:rowOff>
    </xdr:to>
    <xdr:sp macro="" textlink="">
      <xdr:nvSpPr>
        <xdr:cNvPr id="2" name="Straight Connector 3"/>
        <xdr:cNvSpPr>
          <a:spLocks noChangeShapeType="1"/>
        </xdr:cNvSpPr>
      </xdr:nvSpPr>
      <xdr:spPr bwMode="auto">
        <a:xfrm flipV="1">
          <a:off x="3562350" y="1019175"/>
          <a:ext cx="1933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752476</xdr:colOff>
      <xdr:row>42</xdr:row>
      <xdr:rowOff>9525</xdr:rowOff>
    </xdr:from>
    <xdr:to>
      <xdr:col>2</xdr:col>
      <xdr:colOff>733426</xdr:colOff>
      <xdr:row>42</xdr:row>
      <xdr:rowOff>9525</xdr:rowOff>
    </xdr:to>
    <xdr:sp macro="" textlink="">
      <xdr:nvSpPr>
        <xdr:cNvPr id="3" name="Straight Connector 4"/>
        <xdr:cNvSpPr>
          <a:spLocks noChangeShapeType="1"/>
        </xdr:cNvSpPr>
      </xdr:nvSpPr>
      <xdr:spPr bwMode="auto">
        <a:xfrm>
          <a:off x="685801" y="1238250"/>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41</xdr:row>
      <xdr:rowOff>0</xdr:rowOff>
    </xdr:from>
    <xdr:to>
      <xdr:col>7</xdr:col>
      <xdr:colOff>609600</xdr:colOff>
      <xdr:row>41</xdr:row>
      <xdr:rowOff>0</xdr:rowOff>
    </xdr:to>
    <xdr:sp macro="" textlink="">
      <xdr:nvSpPr>
        <xdr:cNvPr id="4" name="Straight Connector 3"/>
        <xdr:cNvSpPr>
          <a:spLocks noChangeShapeType="1"/>
        </xdr:cNvSpPr>
      </xdr:nvSpPr>
      <xdr:spPr bwMode="auto">
        <a:xfrm flipV="1">
          <a:off x="3562350" y="1019175"/>
          <a:ext cx="1933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200025</xdr:colOff>
      <xdr:row>3</xdr:row>
      <xdr:rowOff>208280</xdr:rowOff>
    </xdr:from>
    <xdr:to>
      <xdr:col>2</xdr:col>
      <xdr:colOff>600075</xdr:colOff>
      <xdr:row>3</xdr:row>
      <xdr:rowOff>208280</xdr:rowOff>
    </xdr:to>
    <xdr:cxnSp macro="">
      <xdr:nvCxnSpPr>
        <xdr:cNvPr id="5" name="Straight Connector 4"/>
        <xdr:cNvCxnSpPr>
          <a:cxnSpLocks noChangeShapeType="1"/>
        </xdr:cNvCxnSpPr>
      </xdr:nvCxnSpPr>
      <xdr:spPr bwMode="auto">
        <a:xfrm>
          <a:off x="200025" y="1227455"/>
          <a:ext cx="1771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2</xdr:row>
      <xdr:rowOff>224155</xdr:rowOff>
    </xdr:from>
    <xdr:to>
      <xdr:col>7</xdr:col>
      <xdr:colOff>609600</xdr:colOff>
      <xdr:row>2</xdr:row>
      <xdr:rowOff>224155</xdr:rowOff>
    </xdr:to>
    <xdr:cxnSp macro="">
      <xdr:nvCxnSpPr>
        <xdr:cNvPr id="6" name="AutoShape 3"/>
        <xdr:cNvCxnSpPr>
          <a:cxnSpLocks noChangeShapeType="1"/>
        </xdr:cNvCxnSpPr>
      </xdr:nvCxnSpPr>
      <xdr:spPr bwMode="auto">
        <a:xfrm>
          <a:off x="3515360" y="1005205"/>
          <a:ext cx="1980565"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oneCellAnchor>
    <xdr:from>
      <xdr:col>15</xdr:col>
      <xdr:colOff>20467</xdr:colOff>
      <xdr:row>1</xdr:row>
      <xdr:rowOff>18643</xdr:rowOff>
    </xdr:from>
    <xdr:ext cx="754887" cy="327141"/>
    <xdr:sp macro="" textlink="">
      <xdr:nvSpPr>
        <xdr:cNvPr id="7" name="Rectangle 6">
          <a:hlinkClick xmlns:r="http://schemas.openxmlformats.org/officeDocument/2006/relationships" r:id="rId1"/>
        </xdr:cNvPr>
        <xdr:cNvSpPr/>
      </xdr:nvSpPr>
      <xdr:spPr>
        <a:xfrm>
          <a:off x="10355092" y="380593"/>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13</xdr:col>
      <xdr:colOff>226343</xdr:colOff>
      <xdr:row>1</xdr:row>
      <xdr:rowOff>42736</xdr:rowOff>
    </xdr:from>
    <xdr:ext cx="647933" cy="327141"/>
    <xdr:sp macro="" textlink="">
      <xdr:nvSpPr>
        <xdr:cNvPr id="8" name="Rectangle 7">
          <a:hlinkClick xmlns:r="http://schemas.openxmlformats.org/officeDocument/2006/relationships" r:id="rId2"/>
        </xdr:cNvPr>
        <xdr:cNvSpPr/>
      </xdr:nvSpPr>
      <xdr:spPr>
        <a:xfrm>
          <a:off x="9189368" y="404686"/>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16</xdr:col>
      <xdr:colOff>102245</xdr:colOff>
      <xdr:row>1</xdr:row>
      <xdr:rowOff>19051</xdr:rowOff>
    </xdr:from>
    <xdr:ext cx="659924" cy="327141"/>
    <xdr:sp macro="" textlink="">
      <xdr:nvSpPr>
        <xdr:cNvPr id="10" name="Rectangle 9">
          <a:hlinkClick xmlns:r="http://schemas.openxmlformats.org/officeDocument/2006/relationships" r:id="rId3"/>
        </xdr:cNvPr>
        <xdr:cNvSpPr/>
      </xdr:nvSpPr>
      <xdr:spPr>
        <a:xfrm>
          <a:off x="11122670" y="381001"/>
          <a:ext cx="659924"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DATA</a:t>
          </a:r>
        </a:p>
      </xdr:txBody>
    </xdr:sp>
    <xdr:clientData/>
  </xdr:oneCellAnchor>
  <xdr:oneCellAnchor>
    <xdr:from>
      <xdr:col>14</xdr:col>
      <xdr:colOff>161925</xdr:colOff>
      <xdr:row>1</xdr:row>
      <xdr:rowOff>23686</xdr:rowOff>
    </xdr:from>
    <xdr:ext cx="529120" cy="327141"/>
    <xdr:sp macro="" textlink="">
      <xdr:nvSpPr>
        <xdr:cNvPr id="14" name="Rectangle 13">
          <a:hlinkClick xmlns:r="http://schemas.openxmlformats.org/officeDocument/2006/relationships" r:id="rId4"/>
        </xdr:cNvPr>
        <xdr:cNvSpPr/>
      </xdr:nvSpPr>
      <xdr:spPr>
        <a:xfrm>
          <a:off x="9810750" y="385636"/>
          <a:ext cx="52912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00B0F0"/>
              </a:solidFill>
              <a:effectLst>
                <a:outerShdw blurRad="76200" dist="50800" dir="5400000" algn="tl" rotWithShape="0">
                  <a:srgbClr val="000000">
                    <a:alpha val="65000"/>
                  </a:srgbClr>
                </a:outerShdw>
              </a:effectLst>
            </a:rPr>
            <a:t>LIST</a:t>
          </a:r>
        </a:p>
      </xdr:txBody>
    </xdr:sp>
    <xdr:clientData/>
  </xdr:oneCellAnchor>
</xdr:wsDr>
</file>

<file path=xl/drawings/drawing18.xml><?xml version="1.0" encoding="utf-8"?>
<xdr:wsDr xmlns:xdr="http://schemas.openxmlformats.org/drawingml/2006/spreadsheetDrawing" xmlns:a="http://schemas.openxmlformats.org/drawingml/2006/main">
  <xdr:twoCellAnchor>
    <xdr:from>
      <xdr:col>5</xdr:col>
      <xdr:colOff>171450</xdr:colOff>
      <xdr:row>41</xdr:row>
      <xdr:rowOff>0</xdr:rowOff>
    </xdr:from>
    <xdr:to>
      <xdr:col>7</xdr:col>
      <xdr:colOff>609600</xdr:colOff>
      <xdr:row>41</xdr:row>
      <xdr:rowOff>0</xdr:rowOff>
    </xdr:to>
    <xdr:sp macro="" textlink="">
      <xdr:nvSpPr>
        <xdr:cNvPr id="2" name="Straight Connector 3"/>
        <xdr:cNvSpPr>
          <a:spLocks noChangeShapeType="1"/>
        </xdr:cNvSpPr>
      </xdr:nvSpPr>
      <xdr:spPr bwMode="auto">
        <a:xfrm flipV="1">
          <a:off x="3600450" y="883920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752476</xdr:colOff>
      <xdr:row>42</xdr:row>
      <xdr:rowOff>9525</xdr:rowOff>
    </xdr:from>
    <xdr:to>
      <xdr:col>2</xdr:col>
      <xdr:colOff>733426</xdr:colOff>
      <xdr:row>42</xdr:row>
      <xdr:rowOff>9525</xdr:rowOff>
    </xdr:to>
    <xdr:sp macro="" textlink="">
      <xdr:nvSpPr>
        <xdr:cNvPr id="3" name="Straight Connector 4"/>
        <xdr:cNvSpPr>
          <a:spLocks noChangeShapeType="1"/>
        </xdr:cNvSpPr>
      </xdr:nvSpPr>
      <xdr:spPr bwMode="auto">
        <a:xfrm>
          <a:off x="685801" y="9058275"/>
          <a:ext cx="1371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171450</xdr:colOff>
      <xdr:row>41</xdr:row>
      <xdr:rowOff>0</xdr:rowOff>
    </xdr:from>
    <xdr:to>
      <xdr:col>7</xdr:col>
      <xdr:colOff>609600</xdr:colOff>
      <xdr:row>41</xdr:row>
      <xdr:rowOff>0</xdr:rowOff>
    </xdr:to>
    <xdr:sp macro="" textlink="">
      <xdr:nvSpPr>
        <xdr:cNvPr id="4" name="Straight Connector 3"/>
        <xdr:cNvSpPr>
          <a:spLocks noChangeShapeType="1"/>
        </xdr:cNvSpPr>
      </xdr:nvSpPr>
      <xdr:spPr bwMode="auto">
        <a:xfrm flipV="1">
          <a:off x="3600450" y="883920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200025</xdr:colOff>
      <xdr:row>3</xdr:row>
      <xdr:rowOff>208280</xdr:rowOff>
    </xdr:from>
    <xdr:to>
      <xdr:col>2</xdr:col>
      <xdr:colOff>600075</xdr:colOff>
      <xdr:row>3</xdr:row>
      <xdr:rowOff>208280</xdr:rowOff>
    </xdr:to>
    <xdr:cxnSp macro="">
      <xdr:nvCxnSpPr>
        <xdr:cNvPr id="5" name="Straight Connector 4"/>
        <xdr:cNvCxnSpPr>
          <a:cxnSpLocks noChangeShapeType="1"/>
        </xdr:cNvCxnSpPr>
      </xdr:nvCxnSpPr>
      <xdr:spPr bwMode="auto">
        <a:xfrm>
          <a:off x="200025" y="655955"/>
          <a:ext cx="1771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124460</xdr:colOff>
      <xdr:row>2</xdr:row>
      <xdr:rowOff>224155</xdr:rowOff>
    </xdr:from>
    <xdr:to>
      <xdr:col>7</xdr:col>
      <xdr:colOff>609600</xdr:colOff>
      <xdr:row>2</xdr:row>
      <xdr:rowOff>224155</xdr:rowOff>
    </xdr:to>
    <xdr:cxnSp macro="">
      <xdr:nvCxnSpPr>
        <xdr:cNvPr id="6" name="AutoShape 3"/>
        <xdr:cNvCxnSpPr>
          <a:cxnSpLocks noChangeShapeType="1"/>
        </xdr:cNvCxnSpPr>
      </xdr:nvCxnSpPr>
      <xdr:spPr bwMode="auto">
        <a:xfrm>
          <a:off x="3553460" y="433705"/>
          <a:ext cx="1856740" cy="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19.xml><?xml version="1.0" encoding="utf-8"?>
<xdr:wsDr xmlns:xdr="http://schemas.openxmlformats.org/drawingml/2006/spreadsheetDrawing" xmlns:a="http://schemas.openxmlformats.org/drawingml/2006/main">
  <xdr:oneCellAnchor>
    <xdr:from>
      <xdr:col>13</xdr:col>
      <xdr:colOff>668167</xdr:colOff>
      <xdr:row>1</xdr:row>
      <xdr:rowOff>18643</xdr:rowOff>
    </xdr:from>
    <xdr:ext cx="754887" cy="327141"/>
    <xdr:sp macro="" textlink="">
      <xdr:nvSpPr>
        <xdr:cNvPr id="2" name="Rectangle 1">
          <a:hlinkClick xmlns:r="http://schemas.openxmlformats.org/officeDocument/2006/relationships" r:id="rId1"/>
        </xdr:cNvPr>
        <xdr:cNvSpPr/>
      </xdr:nvSpPr>
      <xdr:spPr>
        <a:xfrm>
          <a:off x="7688092" y="66268"/>
          <a:ext cx="754887"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BBXAY</a:t>
          </a:r>
        </a:p>
      </xdr:txBody>
    </xdr:sp>
    <xdr:clientData/>
  </xdr:oneCellAnchor>
  <xdr:oneCellAnchor>
    <xdr:from>
      <xdr:col>12</xdr:col>
      <xdr:colOff>607343</xdr:colOff>
      <xdr:row>1</xdr:row>
      <xdr:rowOff>14161</xdr:rowOff>
    </xdr:from>
    <xdr:ext cx="647933" cy="327141"/>
    <xdr:sp macro="" textlink="">
      <xdr:nvSpPr>
        <xdr:cNvPr id="3" name="Rectangle 2">
          <a:hlinkClick xmlns:r="http://schemas.openxmlformats.org/officeDocument/2006/relationships" r:id="rId2"/>
        </xdr:cNvPr>
        <xdr:cNvSpPr/>
      </xdr:nvSpPr>
      <xdr:spPr>
        <a:xfrm>
          <a:off x="6941468" y="61786"/>
          <a:ext cx="647933"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BBNT</a:t>
          </a:r>
        </a:p>
      </xdr:txBody>
    </xdr:sp>
    <xdr:clientData/>
  </xdr:oneCellAnchor>
  <xdr:oneCellAnchor>
    <xdr:from>
      <xdr:col>19</xdr:col>
      <xdr:colOff>43856</xdr:colOff>
      <xdr:row>1</xdr:row>
      <xdr:rowOff>2956</xdr:rowOff>
    </xdr:from>
    <xdr:ext cx="1160831" cy="327141"/>
    <xdr:sp macro="" textlink="">
      <xdr:nvSpPr>
        <xdr:cNvPr id="4" name="Rectangle 3">
          <a:hlinkClick xmlns:r="http://schemas.openxmlformats.org/officeDocument/2006/relationships" r:id="rId3"/>
        </xdr:cNvPr>
        <xdr:cNvSpPr/>
      </xdr:nvSpPr>
      <xdr:spPr>
        <a:xfrm>
          <a:off x="11178581" y="50581"/>
          <a:ext cx="116083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DANH MỤC</a:t>
          </a:r>
        </a:p>
      </xdr:txBody>
    </xdr:sp>
    <xdr:clientData/>
  </xdr:oneCellAnchor>
  <xdr:oneCellAnchor>
    <xdr:from>
      <xdr:col>15</xdr:col>
      <xdr:colOff>155928</xdr:colOff>
      <xdr:row>1</xdr:row>
      <xdr:rowOff>1</xdr:rowOff>
    </xdr:from>
    <xdr:ext cx="647806" cy="327141"/>
    <xdr:sp macro="" textlink="">
      <xdr:nvSpPr>
        <xdr:cNvPr id="5" name="Rectangle 4">
          <a:hlinkClick xmlns:r="http://schemas.openxmlformats.org/officeDocument/2006/relationships" r:id="rId4"/>
        </xdr:cNvPr>
        <xdr:cNvSpPr/>
      </xdr:nvSpPr>
      <xdr:spPr>
        <a:xfrm>
          <a:off x="8547453" y="47626"/>
          <a:ext cx="647806"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NTCV</a:t>
          </a:r>
        </a:p>
      </xdr:txBody>
    </xdr:sp>
    <xdr:clientData/>
  </xdr:oneCellAnchor>
  <xdr:oneCellAnchor>
    <xdr:from>
      <xdr:col>16</xdr:col>
      <xdr:colOff>197490</xdr:colOff>
      <xdr:row>1</xdr:row>
      <xdr:rowOff>0</xdr:rowOff>
    </xdr:from>
    <xdr:ext cx="551241" cy="327141"/>
    <xdr:sp macro="" textlink="">
      <xdr:nvSpPr>
        <xdr:cNvPr id="6" name="Rectangle 5">
          <a:hlinkClick xmlns:r="http://schemas.openxmlformats.org/officeDocument/2006/relationships" r:id="rId5"/>
        </xdr:cNvPr>
        <xdr:cNvSpPr/>
      </xdr:nvSpPr>
      <xdr:spPr>
        <a:xfrm>
          <a:off x="9274815" y="47625"/>
          <a:ext cx="551241"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CGĐ</a:t>
          </a:r>
        </a:p>
      </xdr:txBody>
    </xdr:sp>
    <xdr:clientData/>
  </xdr:oneCellAnchor>
  <xdr:oneCellAnchor>
    <xdr:from>
      <xdr:col>17</xdr:col>
      <xdr:colOff>89442</xdr:colOff>
      <xdr:row>1</xdr:row>
      <xdr:rowOff>0</xdr:rowOff>
    </xdr:from>
    <xdr:ext cx="635302" cy="327141"/>
    <xdr:sp macro="" textlink="">
      <xdr:nvSpPr>
        <xdr:cNvPr id="7" name="Rectangle 6">
          <a:hlinkClick xmlns:r="http://schemas.openxmlformats.org/officeDocument/2006/relationships" r:id="rId6"/>
        </xdr:cNvPr>
        <xdr:cNvSpPr/>
      </xdr:nvSpPr>
      <xdr:spPr>
        <a:xfrm>
          <a:off x="9852567" y="47625"/>
          <a:ext cx="635302"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TNBT</a:t>
          </a:r>
        </a:p>
      </xdr:txBody>
    </xdr:sp>
    <xdr:clientData/>
  </xdr:oneCellAnchor>
  <xdr:oneCellAnchor>
    <xdr:from>
      <xdr:col>18</xdr:col>
      <xdr:colOff>73944</xdr:colOff>
      <xdr:row>1</xdr:row>
      <xdr:rowOff>0</xdr:rowOff>
    </xdr:from>
    <xdr:ext cx="651910" cy="327141"/>
    <xdr:sp macro="" textlink="">
      <xdr:nvSpPr>
        <xdr:cNvPr id="8" name="Rectangle 7">
          <a:hlinkClick xmlns:r="http://schemas.openxmlformats.org/officeDocument/2006/relationships" r:id="rId7"/>
        </xdr:cNvPr>
        <xdr:cNvSpPr/>
      </xdr:nvSpPr>
      <xdr:spPr>
        <a:xfrm>
          <a:off x="10522869" y="47625"/>
          <a:ext cx="65191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7030A0"/>
              </a:solidFill>
              <a:effectLst>
                <a:outerShdw blurRad="76200" dist="50800" dir="5400000" algn="tl" rotWithShape="0">
                  <a:srgbClr val="000000">
                    <a:alpha val="65000"/>
                  </a:srgbClr>
                </a:outerShdw>
              </a:effectLst>
            </a:rPr>
            <a:t>TNVX</a:t>
          </a:r>
        </a:p>
      </xdr:txBody>
    </xdr:sp>
    <xdr:clientData/>
  </xdr:oneCellAnchor>
  <xdr:oneCellAnchor>
    <xdr:from>
      <xdr:col>12</xdr:col>
      <xdr:colOff>0</xdr:colOff>
      <xdr:row>1</xdr:row>
      <xdr:rowOff>14161</xdr:rowOff>
    </xdr:from>
    <xdr:ext cx="529120" cy="327141"/>
    <xdr:sp macro="" textlink="">
      <xdr:nvSpPr>
        <xdr:cNvPr id="9" name="Rectangle 8">
          <a:hlinkClick xmlns:r="http://schemas.openxmlformats.org/officeDocument/2006/relationships" r:id="rId8"/>
        </xdr:cNvPr>
        <xdr:cNvSpPr/>
      </xdr:nvSpPr>
      <xdr:spPr>
        <a:xfrm>
          <a:off x="6334125" y="61786"/>
          <a:ext cx="529120" cy="327141"/>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en-US" sz="1500" b="1" cap="none" spc="50">
              <a:ln w="11430"/>
              <a:solidFill>
                <a:srgbClr val="00B0F0"/>
              </a:solidFill>
              <a:effectLst>
                <a:outerShdw blurRad="76200" dist="50800" dir="5400000" algn="tl" rotWithShape="0">
                  <a:srgbClr val="000000">
                    <a:alpha val="65000"/>
                  </a:srgbClr>
                </a:outerShdw>
              </a:effectLst>
            </a:rPr>
            <a:t>LIST</a:t>
          </a:r>
        </a:p>
      </xdr:txBody>
    </xdr:sp>
    <xdr:clientData/>
  </xdr:oneCellAnchor>
</xdr:wsDr>
</file>

<file path=xl/drawings/drawing20.xml><?xml version="1.0" encoding="utf-8"?>
<xdr:wsDr xmlns:xdr="http://schemas.openxmlformats.org/drawingml/2006/spreadsheetDrawing" xmlns:a="http://schemas.openxmlformats.org/drawingml/2006/main">
  <xdr:twoCellAnchor editAs="oneCell">
    <xdr:from>
      <xdr:col>4</xdr:col>
      <xdr:colOff>3914775</xdr:colOff>
      <xdr:row>0</xdr:row>
      <xdr:rowOff>47625</xdr:rowOff>
    </xdr:from>
    <xdr:to>
      <xdr:col>9</xdr:col>
      <xdr:colOff>930648</xdr:colOff>
      <xdr:row>0</xdr:row>
      <xdr:rowOff>714375</xdr:rowOff>
    </xdr:to>
    <xdr:pic>
      <xdr:nvPicPr>
        <xdr:cNvPr id="38916"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73363" y="47625"/>
          <a:ext cx="3537697"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609600</xdr:colOff>
      <xdr:row>0</xdr:row>
      <xdr:rowOff>28575</xdr:rowOff>
    </xdr:from>
    <xdr:to>
      <xdr:col>23</xdr:col>
      <xdr:colOff>895350</xdr:colOff>
      <xdr:row>0</xdr:row>
      <xdr:rowOff>742950</xdr:rowOff>
    </xdr:to>
    <xdr:pic>
      <xdr:nvPicPr>
        <xdr:cNvPr id="38917"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91675" y="28575"/>
          <a:ext cx="15144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323850</xdr:colOff>
      <xdr:row>0</xdr:row>
      <xdr:rowOff>38100</xdr:rowOff>
    </xdr:from>
    <xdr:to>
      <xdr:col>4</xdr:col>
      <xdr:colOff>2386293</xdr:colOff>
      <xdr:row>0</xdr:row>
      <xdr:rowOff>704850</xdr:rowOff>
    </xdr:to>
    <xdr:pic>
      <xdr:nvPicPr>
        <xdr:cNvPr id="38918"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23850" y="38100"/>
          <a:ext cx="241935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IST%20NHA%20-%20TIEU%20HOC%202P%20-%20TO%20XUO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LIST-NHA%20-%2060M2%20TO%20XUO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 Nha"/>
      <sheetName val="1.DAO MONG"/>
      <sheetName val="PYC"/>
      <sheetName val="BBNT"/>
      <sheetName val="2.VLtruoc (2)"/>
      <sheetName val="Danh muc BB"/>
      <sheetName val="PhieuBT"/>
      <sheetName val="PhieuVUA"/>
      <sheetName val="2.VL"/>
      <sheetName val="3.CT"/>
      <sheetName val="4.VK"/>
      <sheetName val="5.CBBT"/>
      <sheetName val="6.GSBT"/>
      <sheetName val="7.LMBT"/>
      <sheetName val="8.NTBT"/>
      <sheetName val="8.CGĐ"/>
      <sheetName val="9.VL XAY"/>
      <sheetName val="9.1.LMVX"/>
      <sheetName val="9.2.XAY"/>
      <sheetName val="9.3. LD LANH TO"/>
      <sheetName val="9.4. DAP DAT NEN"/>
      <sheetName val="TN-ROTCAT-DAP NEN"/>
      <sheetName val="DANH MUC BBNT"/>
      <sheetName val="CPBT"/>
      <sheetName val="TNBT"/>
      <sheetName val="TNBT (50)"/>
      <sheetName val="TNVXM"/>
      <sheetName val="TIEU CHUAN"/>
      <sheetName val="TC"/>
      <sheetName val="TC1"/>
      <sheetName val="TC2"/>
      <sheetName val="TC3"/>
      <sheetName val="tc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v>1</v>
          </cell>
          <cell r="C2" t="str">
            <v>LMDS</v>
          </cell>
          <cell r="D2" t="str">
            <v>Lấy mẫu bê tông dầm, sàn, sê nô thu nước</v>
          </cell>
          <cell r="E2" t="str">
            <v>Lô nhà tiểu học 2 phòng</v>
          </cell>
          <cell r="F2" t="str">
            <v>điểm TĐC Tổ Xước</v>
          </cell>
          <cell r="G2" t="str">
            <v>8/LM2PTX</v>
          </cell>
          <cell r="H2" t="str">
            <v>8/LM2PTX</v>
          </cell>
          <cell r="I2">
            <v>1</v>
          </cell>
          <cell r="J2">
            <v>7</v>
          </cell>
          <cell r="K2">
            <v>41821</v>
          </cell>
          <cell r="L2" t="str">
            <v>08 giờ 00</v>
          </cell>
          <cell r="M2" t="str">
            <v>17 giờ 00</v>
          </cell>
          <cell r="N2">
            <v>2</v>
          </cell>
          <cell r="O2">
            <v>7</v>
          </cell>
          <cell r="P2">
            <v>41822</v>
          </cell>
          <cell r="Q2" t="str">
            <v>Nguyễn Xuân Quỳnh</v>
          </cell>
          <cell r="R2" t="str">
            <v>Lê Văn Thái</v>
          </cell>
          <cell r="S2" t="str">
            <v>Nguyễn Hàm Hiếu</v>
          </cell>
          <cell r="U2" t="str">
            <v>M200#</v>
          </cell>
          <cell r="V2" t="str">
            <v>1/2PTX/M200</v>
          </cell>
          <cell r="W2" t="str">
            <v>2/2PTX/M200</v>
          </cell>
          <cell r="X2" t="str">
            <v>3/2PTX/M200</v>
          </cell>
          <cell r="Y2">
            <v>1</v>
          </cell>
          <cell r="Z2">
            <v>2</v>
          </cell>
          <cell r="AA2">
            <v>3</v>
          </cell>
          <cell r="AB2" t="str">
            <v>2PTX</v>
          </cell>
          <cell r="AC2" t="str">
            <v>M200</v>
          </cell>
        </row>
        <row r="3">
          <cell r="A3">
            <v>2</v>
          </cell>
          <cell r="C3" t="str">
            <v>LMG</v>
          </cell>
          <cell r="D3" t="str">
            <v>Lấy mẫu bê tông giằng tường thu hồi</v>
          </cell>
          <cell r="E3" t="str">
            <v>Lô nhà tiểu học 2 phòng</v>
          </cell>
          <cell r="F3" t="str">
            <v>điểm TĐC Tổ Xước</v>
          </cell>
          <cell r="G3" t="str">
            <v>10/LM2PTX</v>
          </cell>
          <cell r="H3" t="str">
            <v>10/LM2PTX</v>
          </cell>
          <cell r="I3">
            <v>4</v>
          </cell>
          <cell r="J3">
            <v>7</v>
          </cell>
          <cell r="K3">
            <v>41824</v>
          </cell>
          <cell r="L3" t="str">
            <v>16 giờ 00</v>
          </cell>
          <cell r="M3" t="str">
            <v>17 giờ 00</v>
          </cell>
          <cell r="N3">
            <v>5</v>
          </cell>
          <cell r="O3">
            <v>7</v>
          </cell>
          <cell r="P3">
            <v>41825</v>
          </cell>
          <cell r="Q3" t="str">
            <v>Nguyễn Xuân Quỳnh</v>
          </cell>
          <cell r="R3" t="str">
            <v>Lê Văn Thái</v>
          </cell>
          <cell r="S3" t="str">
            <v>Nguyễn Hàm Hiếu</v>
          </cell>
          <cell r="U3" t="str">
            <v>M200#</v>
          </cell>
          <cell r="V3" t="str">
            <v>4/2PTX/M200</v>
          </cell>
          <cell r="W3" t="str">
            <v>5/2PTX/M200</v>
          </cell>
          <cell r="X3" t="str">
            <v>6/2PTX/M200</v>
          </cell>
          <cell r="Y3">
            <v>4</v>
          </cell>
          <cell r="Z3">
            <v>5</v>
          </cell>
          <cell r="AA3">
            <v>6</v>
          </cell>
          <cell r="AB3" t="str">
            <v>2PTX</v>
          </cell>
          <cell r="AC3" t="str">
            <v>M200</v>
          </cell>
        </row>
        <row r="4">
          <cell r="A4">
            <v>3</v>
          </cell>
          <cell r="C4" t="str">
            <v>LML</v>
          </cell>
          <cell r="D4" t="str">
            <v>Lấy mẫu bê tông Lam trang trí</v>
          </cell>
          <cell r="E4" t="str">
            <v>Lô nhà tiểu học 2 phòng</v>
          </cell>
          <cell r="F4" t="str">
            <v>điểm TĐC Tổ Xước</v>
          </cell>
          <cell r="G4" t="str">
            <v>11/LM2PTX</v>
          </cell>
          <cell r="H4" t="str">
            <v>11/LM2PTX</v>
          </cell>
          <cell r="I4">
            <v>18</v>
          </cell>
          <cell r="J4">
            <v>7</v>
          </cell>
          <cell r="K4">
            <v>41838</v>
          </cell>
          <cell r="L4" t="str">
            <v>08 giờ 00</v>
          </cell>
          <cell r="M4" t="str">
            <v>17 giờ 00</v>
          </cell>
          <cell r="N4">
            <v>19</v>
          </cell>
          <cell r="O4">
            <v>7</v>
          </cell>
          <cell r="P4">
            <v>41839</v>
          </cell>
          <cell r="Q4" t="str">
            <v>Nguyễn Xuân Quỳnh</v>
          </cell>
          <cell r="R4" t="str">
            <v>Lê Văn Thái</v>
          </cell>
          <cell r="S4" t="str">
            <v>Nguyễn Hàm Hiếu</v>
          </cell>
          <cell r="U4" t="str">
            <v>M200#</v>
          </cell>
          <cell r="V4" t="str">
            <v>7/2PTX/M200</v>
          </cell>
          <cell r="W4" t="str">
            <v>8/2PTX/M200</v>
          </cell>
          <cell r="X4" t="str">
            <v>9/2PTX/M200</v>
          </cell>
          <cell r="Y4">
            <v>7</v>
          </cell>
          <cell r="Z4">
            <v>8</v>
          </cell>
          <cell r="AA4">
            <v>9</v>
          </cell>
          <cell r="AB4" t="str">
            <v>2PTX</v>
          </cell>
          <cell r="AC4" t="str">
            <v>M200</v>
          </cell>
        </row>
        <row r="5">
          <cell r="A5">
            <v>4</v>
          </cell>
          <cell r="C5" t="str">
            <v>LMN</v>
          </cell>
          <cell r="D5" t="str">
            <v>Lấy mẫu bê tông nền nhà</v>
          </cell>
          <cell r="E5" t="str">
            <v>Lô nhà tiểu học 2 phòng</v>
          </cell>
          <cell r="F5" t="str">
            <v>điểm TĐC Tổ Xước</v>
          </cell>
          <cell r="G5" t="str">
            <v>13/LM2PTX</v>
          </cell>
          <cell r="H5" t="str">
            <v>13/LM2PTX</v>
          </cell>
          <cell r="I5">
            <v>21</v>
          </cell>
          <cell r="J5">
            <v>7</v>
          </cell>
          <cell r="K5">
            <v>41841</v>
          </cell>
          <cell r="L5" t="str">
            <v>08 giờ 00</v>
          </cell>
          <cell r="M5" t="str">
            <v>11 giờ 00</v>
          </cell>
          <cell r="N5">
            <v>22</v>
          </cell>
          <cell r="O5">
            <v>7</v>
          </cell>
          <cell r="P5">
            <v>41842</v>
          </cell>
          <cell r="Q5" t="str">
            <v>Nguyễn Xuân Quỳnh</v>
          </cell>
          <cell r="R5" t="str">
            <v>Lê Văn Thái</v>
          </cell>
          <cell r="S5" t="str">
            <v>Nguyễn Hàm Hiếu</v>
          </cell>
          <cell r="U5" t="str">
            <v>M50#</v>
          </cell>
          <cell r="V5" t="str">
            <v>10/2PTX/M200</v>
          </cell>
          <cell r="W5" t="str">
            <v>11/2PTX/M200</v>
          </cell>
          <cell r="X5" t="str">
            <v>12/2PTX/M200</v>
          </cell>
          <cell r="Y5">
            <v>10</v>
          </cell>
          <cell r="Z5">
            <v>11</v>
          </cell>
          <cell r="AA5">
            <v>12</v>
          </cell>
          <cell r="AB5" t="str">
            <v>2PTX</v>
          </cell>
          <cell r="AC5" t="str">
            <v>M50#</v>
          </cell>
        </row>
        <row r="6">
          <cell r="A6">
            <v>5</v>
          </cell>
          <cell r="G6">
            <v>0</v>
          </cell>
          <cell r="K6">
            <v>0</v>
          </cell>
          <cell r="P6">
            <v>0</v>
          </cell>
        </row>
        <row r="7">
          <cell r="A7">
            <v>6</v>
          </cell>
          <cell r="G7">
            <v>0</v>
          </cell>
          <cell r="K7">
            <v>0</v>
          </cell>
          <cell r="P7">
            <v>0</v>
          </cell>
        </row>
        <row r="8">
          <cell r="A8">
            <v>7</v>
          </cell>
          <cell r="G8">
            <v>0</v>
          </cell>
          <cell r="K8">
            <v>0</v>
          </cell>
          <cell r="P8">
            <v>0</v>
          </cell>
        </row>
        <row r="9">
          <cell r="A9">
            <v>8</v>
          </cell>
          <cell r="G9">
            <v>0</v>
          </cell>
          <cell r="K9">
            <v>0</v>
          </cell>
          <cell r="P9">
            <v>0</v>
          </cell>
        </row>
        <row r="10">
          <cell r="A10">
            <v>9</v>
          </cell>
          <cell r="G10">
            <v>0</v>
          </cell>
          <cell r="K10">
            <v>0</v>
          </cell>
          <cell r="P10">
            <v>0</v>
          </cell>
        </row>
        <row r="11">
          <cell r="A11">
            <v>10</v>
          </cell>
          <cell r="C11">
            <v>0</v>
          </cell>
          <cell r="G11">
            <v>0</v>
          </cell>
          <cell r="I11">
            <v>0</v>
          </cell>
          <cell r="J11">
            <v>0</v>
          </cell>
          <cell r="K11">
            <v>0</v>
          </cell>
          <cell r="N11">
            <v>0</v>
          </cell>
          <cell r="O11">
            <v>0</v>
          </cell>
          <cell r="P11">
            <v>0</v>
          </cell>
          <cell r="T11">
            <v>0</v>
          </cell>
        </row>
        <row r="12">
          <cell r="A12">
            <v>11</v>
          </cell>
          <cell r="C12">
            <v>0</v>
          </cell>
          <cell r="G12">
            <v>0</v>
          </cell>
          <cell r="I12">
            <v>0</v>
          </cell>
          <cell r="J12">
            <v>0</v>
          </cell>
          <cell r="K12">
            <v>0</v>
          </cell>
          <cell r="N12">
            <v>0</v>
          </cell>
          <cell r="O12">
            <v>0</v>
          </cell>
          <cell r="P12">
            <v>0</v>
          </cell>
          <cell r="T12">
            <v>0</v>
          </cell>
        </row>
        <row r="13">
          <cell r="A13">
            <v>12</v>
          </cell>
          <cell r="C13">
            <v>0</v>
          </cell>
          <cell r="G13">
            <v>0</v>
          </cell>
          <cell r="I13">
            <v>0</v>
          </cell>
          <cell r="J13">
            <v>0</v>
          </cell>
          <cell r="K13">
            <v>0</v>
          </cell>
          <cell r="N13">
            <v>0</v>
          </cell>
          <cell r="O13">
            <v>0</v>
          </cell>
          <cell r="P13">
            <v>0</v>
          </cell>
          <cell r="T13">
            <v>0</v>
          </cell>
        </row>
        <row r="14">
          <cell r="A14">
            <v>13</v>
          </cell>
          <cell r="C14">
            <v>0</v>
          </cell>
          <cell r="G14">
            <v>0</v>
          </cell>
          <cell r="I14">
            <v>0</v>
          </cell>
          <cell r="J14">
            <v>0</v>
          </cell>
          <cell r="K14">
            <v>0</v>
          </cell>
          <cell r="N14">
            <v>0</v>
          </cell>
          <cell r="O14">
            <v>0</v>
          </cell>
          <cell r="P14">
            <v>0</v>
          </cell>
          <cell r="T14">
            <v>0</v>
          </cell>
        </row>
        <row r="15">
          <cell r="A15">
            <v>14</v>
          </cell>
          <cell r="C15">
            <v>0</v>
          </cell>
          <cell r="G15">
            <v>0</v>
          </cell>
          <cell r="I15">
            <v>0</v>
          </cell>
          <cell r="J15">
            <v>0</v>
          </cell>
          <cell r="K15">
            <v>0</v>
          </cell>
          <cell r="N15">
            <v>0</v>
          </cell>
          <cell r="O15">
            <v>0</v>
          </cell>
          <cell r="P15">
            <v>0</v>
          </cell>
          <cell r="T15">
            <v>0</v>
          </cell>
        </row>
        <row r="16">
          <cell r="A16">
            <v>15</v>
          </cell>
          <cell r="C16">
            <v>0</v>
          </cell>
          <cell r="G16">
            <v>0</v>
          </cell>
          <cell r="I16">
            <v>0</v>
          </cell>
          <cell r="J16">
            <v>0</v>
          </cell>
          <cell r="K16">
            <v>0</v>
          </cell>
          <cell r="N16">
            <v>0</v>
          </cell>
          <cell r="O16">
            <v>0</v>
          </cell>
          <cell r="P16">
            <v>0</v>
          </cell>
          <cell r="T16">
            <v>0</v>
          </cell>
        </row>
        <row r="17">
          <cell r="A17">
            <v>16</v>
          </cell>
          <cell r="C17">
            <v>0</v>
          </cell>
          <cell r="G17">
            <v>0</v>
          </cell>
          <cell r="I17">
            <v>0</v>
          </cell>
          <cell r="J17">
            <v>0</v>
          </cell>
          <cell r="K17">
            <v>0</v>
          </cell>
          <cell r="N17">
            <v>0</v>
          </cell>
          <cell r="O17">
            <v>0</v>
          </cell>
          <cell r="P17">
            <v>0</v>
          </cell>
          <cell r="T17">
            <v>0</v>
          </cell>
        </row>
        <row r="18">
          <cell r="A18">
            <v>17</v>
          </cell>
          <cell r="G18">
            <v>0</v>
          </cell>
          <cell r="K18">
            <v>0</v>
          </cell>
          <cell r="P18">
            <v>0</v>
          </cell>
        </row>
        <row r="19">
          <cell r="A19">
            <v>18</v>
          </cell>
          <cell r="G19">
            <v>0</v>
          </cell>
          <cell r="K19">
            <v>0</v>
          </cell>
          <cell r="P19">
            <v>0</v>
          </cell>
        </row>
        <row r="20">
          <cell r="G20">
            <v>0</v>
          </cell>
          <cell r="K20">
            <v>0</v>
          </cell>
          <cell r="P20">
            <v>0</v>
          </cell>
        </row>
        <row r="21">
          <cell r="G21">
            <v>0</v>
          </cell>
          <cell r="K21">
            <v>0</v>
          </cell>
          <cell r="P21">
            <v>0</v>
          </cell>
        </row>
        <row r="22">
          <cell r="G22">
            <v>0</v>
          </cell>
          <cell r="K22">
            <v>0</v>
          </cell>
          <cell r="P22">
            <v>0</v>
          </cell>
        </row>
        <row r="23">
          <cell r="G23">
            <v>0</v>
          </cell>
          <cell r="K23">
            <v>0</v>
          </cell>
          <cell r="P23">
            <v>0</v>
          </cell>
        </row>
        <row r="24">
          <cell r="G24">
            <v>0</v>
          </cell>
          <cell r="K24">
            <v>0</v>
          </cell>
          <cell r="P24">
            <v>0</v>
          </cell>
        </row>
        <row r="25">
          <cell r="K25">
            <v>0</v>
          </cell>
          <cell r="P25">
            <v>0</v>
          </cell>
        </row>
        <row r="26">
          <cell r="K26">
            <v>0</v>
          </cell>
          <cell r="P26">
            <v>0</v>
          </cell>
        </row>
        <row r="27">
          <cell r="K27">
            <v>0</v>
          </cell>
          <cell r="P27">
            <v>0</v>
          </cell>
        </row>
        <row r="28">
          <cell r="E28">
            <v>0</v>
          </cell>
          <cell r="G28">
            <v>0</v>
          </cell>
          <cell r="H28">
            <v>0</v>
          </cell>
          <cell r="J28">
            <v>0</v>
          </cell>
          <cell r="K28">
            <v>0</v>
          </cell>
          <cell r="M28">
            <v>0</v>
          </cell>
          <cell r="O28">
            <v>0</v>
          </cell>
          <cell r="P28">
            <v>0</v>
          </cell>
        </row>
        <row r="29">
          <cell r="K29">
            <v>0</v>
          </cell>
          <cell r="P29">
            <v>0</v>
          </cell>
        </row>
        <row r="30">
          <cell r="K30">
            <v>0</v>
          </cell>
          <cell r="P30">
            <v>0</v>
          </cell>
        </row>
        <row r="31">
          <cell r="K31">
            <v>0</v>
          </cell>
          <cell r="P31">
            <v>0</v>
          </cell>
        </row>
        <row r="32">
          <cell r="K32">
            <v>0</v>
          </cell>
          <cell r="P32">
            <v>0</v>
          </cell>
        </row>
        <row r="33">
          <cell r="K33">
            <v>0</v>
          </cell>
          <cell r="P33">
            <v>0</v>
          </cell>
        </row>
        <row r="34">
          <cell r="K34">
            <v>0</v>
          </cell>
          <cell r="P34">
            <v>0</v>
          </cell>
        </row>
        <row r="35">
          <cell r="K35">
            <v>0</v>
          </cell>
          <cell r="P35">
            <v>0</v>
          </cell>
        </row>
        <row r="36">
          <cell r="K36">
            <v>0</v>
          </cell>
          <cell r="P36">
            <v>0</v>
          </cell>
        </row>
        <row r="37">
          <cell r="K37">
            <v>0</v>
          </cell>
          <cell r="P37">
            <v>0</v>
          </cell>
        </row>
        <row r="38">
          <cell r="K38">
            <v>0</v>
          </cell>
          <cell r="P38">
            <v>0</v>
          </cell>
        </row>
        <row r="39">
          <cell r="K39">
            <v>0</v>
          </cell>
          <cell r="P39">
            <v>0</v>
          </cell>
        </row>
        <row r="40">
          <cell r="K40">
            <v>0</v>
          </cell>
          <cell r="P40">
            <v>0</v>
          </cell>
        </row>
        <row r="41">
          <cell r="K41">
            <v>0</v>
          </cell>
          <cell r="P41">
            <v>0</v>
          </cell>
        </row>
        <row r="42">
          <cell r="K42">
            <v>0</v>
          </cell>
          <cell r="P42">
            <v>0</v>
          </cell>
        </row>
        <row r="43">
          <cell r="K43">
            <v>0</v>
          </cell>
          <cell r="P43">
            <v>0</v>
          </cell>
        </row>
        <row r="44">
          <cell r="K44">
            <v>0</v>
          </cell>
          <cell r="P44">
            <v>0</v>
          </cell>
        </row>
        <row r="45">
          <cell r="K45">
            <v>0</v>
          </cell>
          <cell r="P45">
            <v>0</v>
          </cell>
        </row>
        <row r="46">
          <cell r="K46">
            <v>0</v>
          </cell>
          <cell r="P46">
            <v>0</v>
          </cell>
        </row>
        <row r="47">
          <cell r="K47">
            <v>0</v>
          </cell>
          <cell r="P47">
            <v>0</v>
          </cell>
        </row>
        <row r="48">
          <cell r="K48">
            <v>0</v>
          </cell>
          <cell r="P48">
            <v>0</v>
          </cell>
        </row>
        <row r="49">
          <cell r="K49">
            <v>0</v>
          </cell>
          <cell r="P49">
            <v>0</v>
          </cell>
        </row>
        <row r="50">
          <cell r="K50">
            <v>0</v>
          </cell>
          <cell r="P50">
            <v>0</v>
          </cell>
        </row>
        <row r="51">
          <cell r="K51">
            <v>0</v>
          </cell>
          <cell r="P51">
            <v>0</v>
          </cell>
        </row>
        <row r="52">
          <cell r="K52">
            <v>0</v>
          </cell>
          <cell r="P52">
            <v>0</v>
          </cell>
        </row>
        <row r="53">
          <cell r="K53">
            <v>0</v>
          </cell>
          <cell r="P53">
            <v>0</v>
          </cell>
        </row>
        <row r="54">
          <cell r="K54">
            <v>0</v>
          </cell>
          <cell r="P54">
            <v>0</v>
          </cell>
        </row>
        <row r="55">
          <cell r="K55">
            <v>0</v>
          </cell>
          <cell r="P55">
            <v>0</v>
          </cell>
        </row>
        <row r="56">
          <cell r="K56">
            <v>0</v>
          </cell>
          <cell r="P56">
            <v>0</v>
          </cell>
        </row>
        <row r="57">
          <cell r="K57">
            <v>0</v>
          </cell>
          <cell r="P57">
            <v>0</v>
          </cell>
        </row>
        <row r="58">
          <cell r="K58">
            <v>0</v>
          </cell>
          <cell r="P58">
            <v>0</v>
          </cell>
        </row>
        <row r="59">
          <cell r="K59">
            <v>0</v>
          </cell>
          <cell r="P59">
            <v>0</v>
          </cell>
        </row>
        <row r="60">
          <cell r="K60">
            <v>0</v>
          </cell>
          <cell r="P60">
            <v>0</v>
          </cell>
        </row>
        <row r="61">
          <cell r="K61">
            <v>0</v>
          </cell>
          <cell r="P61">
            <v>0</v>
          </cell>
        </row>
        <row r="62">
          <cell r="K62">
            <v>0</v>
          </cell>
          <cell r="P62">
            <v>0</v>
          </cell>
        </row>
        <row r="63">
          <cell r="K63">
            <v>0</v>
          </cell>
          <cell r="P63">
            <v>0</v>
          </cell>
        </row>
        <row r="64">
          <cell r="K64">
            <v>0</v>
          </cell>
          <cell r="P64">
            <v>0</v>
          </cell>
        </row>
        <row r="65">
          <cell r="K65">
            <v>0</v>
          </cell>
          <cell r="P65">
            <v>0</v>
          </cell>
        </row>
        <row r="66">
          <cell r="K66">
            <v>0</v>
          </cell>
          <cell r="P66">
            <v>0</v>
          </cell>
        </row>
        <row r="67">
          <cell r="K67">
            <v>0</v>
          </cell>
          <cell r="P67">
            <v>0</v>
          </cell>
        </row>
        <row r="68">
          <cell r="K68">
            <v>0</v>
          </cell>
          <cell r="P68">
            <v>0</v>
          </cell>
        </row>
        <row r="69">
          <cell r="K69">
            <v>0</v>
          </cell>
          <cell r="P69">
            <v>0</v>
          </cell>
        </row>
        <row r="70">
          <cell r="K70">
            <v>0</v>
          </cell>
          <cell r="P70">
            <v>0</v>
          </cell>
        </row>
        <row r="71">
          <cell r="K71">
            <v>0</v>
          </cell>
          <cell r="P71">
            <v>0</v>
          </cell>
        </row>
        <row r="72">
          <cell r="K72">
            <v>0</v>
          </cell>
          <cell r="P72">
            <v>0</v>
          </cell>
        </row>
        <row r="73">
          <cell r="K73">
            <v>0</v>
          </cell>
          <cell r="P73">
            <v>0</v>
          </cell>
        </row>
        <row r="74">
          <cell r="K74">
            <v>0</v>
          </cell>
          <cell r="P74">
            <v>0</v>
          </cell>
        </row>
        <row r="75">
          <cell r="K75">
            <v>0</v>
          </cell>
          <cell r="P75">
            <v>0</v>
          </cell>
        </row>
        <row r="76">
          <cell r="K76">
            <v>0</v>
          </cell>
          <cell r="P76">
            <v>0</v>
          </cell>
        </row>
        <row r="77">
          <cell r="K77">
            <v>0</v>
          </cell>
          <cell r="P77">
            <v>0</v>
          </cell>
        </row>
        <row r="78">
          <cell r="K78">
            <v>0</v>
          </cell>
          <cell r="P78">
            <v>0</v>
          </cell>
        </row>
        <row r="79">
          <cell r="K79">
            <v>0</v>
          </cell>
          <cell r="P79">
            <v>0</v>
          </cell>
        </row>
        <row r="80">
          <cell r="K80">
            <v>0</v>
          </cell>
          <cell r="P80">
            <v>0</v>
          </cell>
        </row>
        <row r="81">
          <cell r="K81">
            <v>0</v>
          </cell>
          <cell r="P81">
            <v>0</v>
          </cell>
        </row>
        <row r="82">
          <cell r="K82">
            <v>0</v>
          </cell>
          <cell r="P82">
            <v>0</v>
          </cell>
        </row>
        <row r="83">
          <cell r="K83">
            <v>0</v>
          </cell>
          <cell r="P83">
            <v>0</v>
          </cell>
        </row>
        <row r="84">
          <cell r="K84">
            <v>0</v>
          </cell>
          <cell r="P84">
            <v>0</v>
          </cell>
        </row>
        <row r="85">
          <cell r="K85">
            <v>0</v>
          </cell>
          <cell r="P85">
            <v>0</v>
          </cell>
        </row>
        <row r="86">
          <cell r="K86">
            <v>0</v>
          </cell>
          <cell r="P86">
            <v>0</v>
          </cell>
        </row>
        <row r="87">
          <cell r="K87">
            <v>0</v>
          </cell>
          <cell r="P87">
            <v>0</v>
          </cell>
        </row>
        <row r="88">
          <cell r="K88">
            <v>0</v>
          </cell>
          <cell r="P88">
            <v>0</v>
          </cell>
        </row>
        <row r="89">
          <cell r="K89">
            <v>0</v>
          </cell>
          <cell r="P89">
            <v>0</v>
          </cell>
        </row>
        <row r="90">
          <cell r="K90">
            <v>0</v>
          </cell>
          <cell r="P90">
            <v>0</v>
          </cell>
        </row>
        <row r="91">
          <cell r="K91">
            <v>0</v>
          </cell>
          <cell r="P91">
            <v>0</v>
          </cell>
        </row>
        <row r="92">
          <cell r="K92">
            <v>0</v>
          </cell>
          <cell r="P92">
            <v>0</v>
          </cell>
        </row>
        <row r="93">
          <cell r="K93">
            <v>0</v>
          </cell>
          <cell r="P93">
            <v>0</v>
          </cell>
        </row>
        <row r="94">
          <cell r="K94">
            <v>0</v>
          </cell>
          <cell r="P94">
            <v>0</v>
          </cell>
        </row>
        <row r="95">
          <cell r="K95">
            <v>0</v>
          </cell>
          <cell r="P95">
            <v>0</v>
          </cell>
        </row>
        <row r="96">
          <cell r="K96">
            <v>0</v>
          </cell>
          <cell r="P96">
            <v>0</v>
          </cell>
        </row>
        <row r="97">
          <cell r="K97">
            <v>0</v>
          </cell>
          <cell r="P97">
            <v>0</v>
          </cell>
        </row>
        <row r="98">
          <cell r="K98">
            <v>0</v>
          </cell>
          <cell r="P98">
            <v>0</v>
          </cell>
        </row>
        <row r="99">
          <cell r="K99">
            <v>0</v>
          </cell>
          <cell r="P99">
            <v>0</v>
          </cell>
        </row>
        <row r="100">
          <cell r="K100">
            <v>0</v>
          </cell>
          <cell r="P100">
            <v>0</v>
          </cell>
        </row>
        <row r="101">
          <cell r="K101">
            <v>0</v>
          </cell>
          <cell r="P101">
            <v>0</v>
          </cell>
        </row>
        <row r="102">
          <cell r="K102">
            <v>0</v>
          </cell>
          <cell r="P102">
            <v>0</v>
          </cell>
        </row>
        <row r="103">
          <cell r="K103">
            <v>0</v>
          </cell>
          <cell r="P103">
            <v>0</v>
          </cell>
        </row>
        <row r="104">
          <cell r="K104">
            <v>0</v>
          </cell>
          <cell r="P104">
            <v>0</v>
          </cell>
        </row>
        <row r="105">
          <cell r="K105">
            <v>0</v>
          </cell>
          <cell r="P105">
            <v>0</v>
          </cell>
        </row>
        <row r="106">
          <cell r="K106">
            <v>0</v>
          </cell>
          <cell r="P106">
            <v>0</v>
          </cell>
        </row>
        <row r="107">
          <cell r="K107">
            <v>0</v>
          </cell>
          <cell r="P107">
            <v>0</v>
          </cell>
        </row>
        <row r="108">
          <cell r="K108">
            <v>0</v>
          </cell>
          <cell r="P108">
            <v>0</v>
          </cell>
        </row>
        <row r="109">
          <cell r="K109">
            <v>0</v>
          </cell>
          <cell r="P109">
            <v>0</v>
          </cell>
        </row>
        <row r="110">
          <cell r="K110">
            <v>0</v>
          </cell>
          <cell r="P110">
            <v>0</v>
          </cell>
        </row>
        <row r="111">
          <cell r="K111">
            <v>0</v>
          </cell>
          <cell r="P111">
            <v>0</v>
          </cell>
        </row>
        <row r="112">
          <cell r="K112">
            <v>0</v>
          </cell>
          <cell r="P112">
            <v>0</v>
          </cell>
        </row>
        <row r="113">
          <cell r="K113">
            <v>0</v>
          </cell>
          <cell r="P113">
            <v>0</v>
          </cell>
        </row>
        <row r="114">
          <cell r="K114">
            <v>0</v>
          </cell>
          <cell r="P114">
            <v>0</v>
          </cell>
        </row>
        <row r="115">
          <cell r="K115">
            <v>0</v>
          </cell>
          <cell r="P115">
            <v>0</v>
          </cell>
        </row>
        <row r="116">
          <cell r="K116">
            <v>0</v>
          </cell>
          <cell r="P116">
            <v>0</v>
          </cell>
        </row>
        <row r="117">
          <cell r="K117">
            <v>0</v>
          </cell>
          <cell r="P117">
            <v>0</v>
          </cell>
        </row>
        <row r="118">
          <cell r="K118">
            <v>0</v>
          </cell>
          <cell r="P118">
            <v>0</v>
          </cell>
        </row>
        <row r="119">
          <cell r="K119">
            <v>0</v>
          </cell>
          <cell r="P119">
            <v>0</v>
          </cell>
        </row>
        <row r="120">
          <cell r="K120">
            <v>0</v>
          </cell>
          <cell r="P120">
            <v>0</v>
          </cell>
        </row>
        <row r="121">
          <cell r="K121">
            <v>0</v>
          </cell>
          <cell r="P121">
            <v>0</v>
          </cell>
        </row>
        <row r="122">
          <cell r="K122">
            <v>0</v>
          </cell>
          <cell r="P122">
            <v>0</v>
          </cell>
        </row>
        <row r="123">
          <cell r="K123">
            <v>0</v>
          </cell>
          <cell r="P123">
            <v>0</v>
          </cell>
        </row>
        <row r="124">
          <cell r="K124">
            <v>0</v>
          </cell>
          <cell r="P124">
            <v>0</v>
          </cell>
        </row>
        <row r="125">
          <cell r="K125">
            <v>0</v>
          </cell>
          <cell r="P125">
            <v>0</v>
          </cell>
        </row>
        <row r="126">
          <cell r="K126">
            <v>0</v>
          </cell>
          <cell r="P126">
            <v>0</v>
          </cell>
        </row>
        <row r="127">
          <cell r="K127">
            <v>0</v>
          </cell>
          <cell r="P127">
            <v>0</v>
          </cell>
        </row>
        <row r="128">
          <cell r="K128">
            <v>0</v>
          </cell>
          <cell r="P128">
            <v>0</v>
          </cell>
        </row>
        <row r="129">
          <cell r="K129">
            <v>0</v>
          </cell>
          <cell r="P129">
            <v>0</v>
          </cell>
        </row>
        <row r="130">
          <cell r="K130">
            <v>0</v>
          </cell>
          <cell r="P130">
            <v>0</v>
          </cell>
        </row>
        <row r="131">
          <cell r="K131">
            <v>0</v>
          </cell>
          <cell r="P131">
            <v>0</v>
          </cell>
        </row>
        <row r="132">
          <cell r="K132">
            <v>0</v>
          </cell>
          <cell r="P132">
            <v>0</v>
          </cell>
        </row>
        <row r="133">
          <cell r="K133">
            <v>0</v>
          </cell>
          <cell r="P133">
            <v>0</v>
          </cell>
        </row>
        <row r="134">
          <cell r="K134">
            <v>0</v>
          </cell>
          <cell r="P134">
            <v>0</v>
          </cell>
        </row>
        <row r="135">
          <cell r="K135">
            <v>0</v>
          </cell>
          <cell r="P135">
            <v>0</v>
          </cell>
        </row>
        <row r="136">
          <cell r="K136">
            <v>0</v>
          </cell>
          <cell r="P136">
            <v>0</v>
          </cell>
        </row>
        <row r="137">
          <cell r="K137">
            <v>0</v>
          </cell>
          <cell r="P137">
            <v>0</v>
          </cell>
        </row>
        <row r="138">
          <cell r="K138">
            <v>0</v>
          </cell>
          <cell r="P138">
            <v>0</v>
          </cell>
        </row>
        <row r="139">
          <cell r="K139">
            <v>0</v>
          </cell>
          <cell r="P139">
            <v>0</v>
          </cell>
        </row>
        <row r="140">
          <cell r="K140">
            <v>0</v>
          </cell>
          <cell r="P140">
            <v>0</v>
          </cell>
        </row>
        <row r="141">
          <cell r="K141">
            <v>0</v>
          </cell>
          <cell r="P141">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 Nha"/>
      <sheetName val="1.DAO MONG"/>
      <sheetName val="PYC"/>
      <sheetName val="BBNT"/>
      <sheetName val="2.VLtruoc (2)"/>
      <sheetName val="Danh muc BB"/>
      <sheetName val="TIEU CHUAN"/>
      <sheetName val="TC"/>
      <sheetName val="TC1"/>
      <sheetName val="TC2"/>
      <sheetName val="TC3"/>
      <sheetName val="tc4"/>
      <sheetName val="PhieuBT"/>
      <sheetName val="PhieuVUA"/>
      <sheetName val="2.VL"/>
      <sheetName val="3.CT"/>
      <sheetName val="4.VK"/>
      <sheetName val="5.CBBT"/>
      <sheetName val="6.GSBT"/>
      <sheetName val="7.LMBT"/>
      <sheetName val="8.NTBT"/>
      <sheetName val="9.VL XAY"/>
      <sheetName val="9.1.LMVX"/>
      <sheetName val="9.2.XAY"/>
      <sheetName val="9.3. LD LANH TO"/>
      <sheetName val="9.3.DAP CAT"/>
      <sheetName val="DANH MUC BBNT"/>
      <sheetName val="TNBT"/>
      <sheetName val="TNBT (150)"/>
      <sheetName val="TN-VX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
          <cell r="A2">
            <v>1</v>
          </cell>
          <cell r="C2" t="str">
            <v>LMXAY1</v>
          </cell>
          <cell r="D2" t="str">
            <v>Lấy mẫu vữa xi măng mác 50# xây tường nhà văn hóa 60m2 (từ cốt +2,5 đến đáy lanh tô cửa sổ và của đi)</v>
          </cell>
          <cell r="E2" t="str">
            <v>Lô nhà văn hóa 60m2</v>
          </cell>
          <cell r="F2" t="str">
            <v>điểm TĐC Tổ Xước</v>
          </cell>
          <cell r="G2" t="str">
            <v>11/LM60TX</v>
          </cell>
          <cell r="H2" t="str">
            <v>11/LM60TX</v>
          </cell>
          <cell r="I2">
            <v>12</v>
          </cell>
          <cell r="J2">
            <v>7</v>
          </cell>
          <cell r="K2">
            <v>41832</v>
          </cell>
          <cell r="L2" t="str">
            <v>15 giờ 00</v>
          </cell>
          <cell r="M2" t="str">
            <v>16 giờ 00</v>
          </cell>
          <cell r="N2">
            <v>13</v>
          </cell>
          <cell r="O2">
            <v>7</v>
          </cell>
          <cell r="P2">
            <v>41833</v>
          </cell>
          <cell r="Q2" t="str">
            <v>Nguyễn Xuân Quỳnh</v>
          </cell>
          <cell r="R2" t="str">
            <v>Lê Văn Thái</v>
          </cell>
          <cell r="S2" t="str">
            <v>Nguyễn Hàm Hiếu</v>
          </cell>
          <cell r="T2" t="str">
            <v>1/60TX/M50</v>
          </cell>
          <cell r="U2" t="str">
            <v>2/60TX/M50</v>
          </cell>
          <cell r="V2" t="str">
            <v>3/60TX/M50</v>
          </cell>
          <cell r="W2">
            <v>1</v>
          </cell>
          <cell r="X2">
            <v>2</v>
          </cell>
          <cell r="Y2">
            <v>3</v>
          </cell>
          <cell r="Z2" t="str">
            <v>60TX</v>
          </cell>
          <cell r="AA2" t="str">
            <v>M50</v>
          </cell>
        </row>
        <row r="3">
          <cell r="A3">
            <v>2</v>
          </cell>
          <cell r="C3" t="str">
            <v>LMXAY2</v>
          </cell>
          <cell r="D3" t="str">
            <v>Lấy mẫu vữa xi măng mác 50# xây tường nhà văn hóa 60m2 (từ cốt lanh tô cửa sổ và của đi đến cốt +5.88)</v>
          </cell>
          <cell r="E3" t="str">
            <v>Lô nhà văn hóa 60m2</v>
          </cell>
          <cell r="F3" t="str">
            <v>điểm TĐC Tổ Xước</v>
          </cell>
          <cell r="G3" t="str">
            <v>12/LM60TX</v>
          </cell>
          <cell r="H3" t="str">
            <v>12/LM60TX</v>
          </cell>
          <cell r="I3">
            <v>14</v>
          </cell>
          <cell r="J3">
            <v>7</v>
          </cell>
          <cell r="K3">
            <v>41834</v>
          </cell>
          <cell r="L3" t="str">
            <v>15 giờ 00</v>
          </cell>
          <cell r="M3" t="str">
            <v>16 giờ 00</v>
          </cell>
          <cell r="N3">
            <v>15</v>
          </cell>
          <cell r="O3">
            <v>7</v>
          </cell>
          <cell r="P3">
            <v>41835</v>
          </cell>
          <cell r="Q3" t="str">
            <v>Nguyễn Xuân Quỳnh</v>
          </cell>
          <cell r="R3" t="str">
            <v>Lê Văn Thái</v>
          </cell>
          <cell r="S3" t="str">
            <v>Nguyễn Hàm Hiếu</v>
          </cell>
          <cell r="T3" t="str">
            <v>1/60TX/M50</v>
          </cell>
          <cell r="U3" t="str">
            <v>2/60TX/M50</v>
          </cell>
          <cell r="V3" t="str">
            <v>3/60TX/M50</v>
          </cell>
          <cell r="W3">
            <v>4</v>
          </cell>
          <cell r="X3">
            <v>5</v>
          </cell>
          <cell r="Y3">
            <v>6</v>
          </cell>
          <cell r="Z3" t="str">
            <v>60TX</v>
          </cell>
          <cell r="AA3" t="str">
            <v>M50</v>
          </cell>
        </row>
        <row r="5">
          <cell r="A5">
            <v>11</v>
          </cell>
          <cell r="C5">
            <v>2</v>
          </cell>
          <cell r="D5">
            <v>3</v>
          </cell>
          <cell r="E5">
            <v>4</v>
          </cell>
          <cell r="F5">
            <v>5</v>
          </cell>
          <cell r="G5">
            <v>6</v>
          </cell>
          <cell r="H5">
            <v>7</v>
          </cell>
          <cell r="I5">
            <v>8</v>
          </cell>
          <cell r="J5">
            <v>9</v>
          </cell>
          <cell r="K5">
            <v>10</v>
          </cell>
          <cell r="L5">
            <v>11</v>
          </cell>
          <cell r="M5">
            <v>12</v>
          </cell>
          <cell r="N5">
            <v>13</v>
          </cell>
          <cell r="O5">
            <v>14</v>
          </cell>
          <cell r="P5">
            <v>15</v>
          </cell>
          <cell r="Q5">
            <v>16</v>
          </cell>
          <cell r="R5">
            <v>17</v>
          </cell>
          <cell r="S5">
            <v>18</v>
          </cell>
          <cell r="T5">
            <v>19</v>
          </cell>
          <cell r="U5">
            <v>20</v>
          </cell>
          <cell r="V5">
            <v>21</v>
          </cell>
          <cell r="W5">
            <v>22</v>
          </cell>
          <cell r="X5">
            <v>23</v>
          </cell>
          <cell r="Y5">
            <v>24</v>
          </cell>
          <cell r="Z5">
            <v>25</v>
          </cell>
          <cell r="AA5">
            <v>26</v>
          </cell>
        </row>
      </sheetData>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hyperlink" Target="http://p.kiemdinhxaydungvinhlong.com/p/Portals/0/Gioi%20thieu/van%20ban%20moi/word/TIEU%20CHUAN/TC%20nghiem%20thu/8TCVN%205641-1991-%20Be%20chua%20bang%20BTCT.doc" TargetMode="External"/><Relationship Id="rId13" Type="http://schemas.openxmlformats.org/officeDocument/2006/relationships/hyperlink" Target="http://p.kiemdinhxaydungvinhlong.com/p/Portals/0/Gioi%20thieu/van%20ban%20moi/word/TIEU%20CHUAN/TC%20nghiem%20thu/14TCVN%204087-1985%20Su%20dung%20may%20xay%20dung-Yeu%20cau%20chung.doc" TargetMode="External"/><Relationship Id="rId3" Type="http://schemas.openxmlformats.org/officeDocument/2006/relationships/hyperlink" Target="http://p.kiemdinhxaydungvinhlong.com/p/Portals/0/Gioi%20thieu/van%20ban%20moi/word/TIEU%20CHUAN/TC%20nghiem%20thu/3TCVN%204085-1985-Ket%20cau%20gach%20da-QP%20thi%20cong%20va%20nghiem%20thu.doc" TargetMode="External"/><Relationship Id="rId7" Type="http://schemas.openxmlformats.org/officeDocument/2006/relationships/hyperlink" Target="http://p.kiemdinhxaydungvinhlong.com/p/Portals/0/Gioi%20thieu/van%20ban%20moi/word/TIEU%20CHUAN/TC%20nghiem%20thu/7TCVN%205640-1991-Ban%20giao%20cong%20trinh%20xay%20dung.doc" TargetMode="External"/><Relationship Id="rId12" Type="http://schemas.openxmlformats.org/officeDocument/2006/relationships/hyperlink" Target="http://p.kiemdinhxaydungvinhlong.com/p/Portals/0/Gioi%20thieu/van%20ban%20moi/word/TIEU%20CHUAN/TC%20nghiem%20thu/13TCVN%204055-1985%20To%20chuc%20thi%20cong.doc" TargetMode="External"/><Relationship Id="rId2" Type="http://schemas.openxmlformats.org/officeDocument/2006/relationships/hyperlink" Target="http://p.kiemdinhxaydungvinhlong.com/p/Portals/0/Gioi%20thieu/van%20ban%20moi/word/TIEU%20CHUAN/TC%20nghiem%20thu/TCVN%204085-1985-Ket%20cau%20gach%20da-QP%20thi%20cong%20va%20nghiem%20thu.doc" TargetMode="External"/><Relationship Id="rId1" Type="http://schemas.openxmlformats.org/officeDocument/2006/relationships/hyperlink" Target="http://p.kiemdinhxaydungvinhlong.com/p/Portals/0/Gioi%20thieu/van%20ban%20moi/word/TIEU%20CHUAN/TC%20nghiem%20thu/TCVN%204091-1985-%20Nghiem%20thu%20cong%20trinh%20xay%20dung.doc" TargetMode="External"/><Relationship Id="rId6" Type="http://schemas.openxmlformats.org/officeDocument/2006/relationships/hyperlink" Target="http://p.kiemdinhxaydungvinhlong.com/p/Portals/0/Gioi%20thieu/van%20ban%20moi/word/TIEU%20CHUAN/TC%20nghiem%20thu/21TCVN%205639-1991-Ng%20thu%20thiet%20bi%20da%20lap%20xong-Ng%20%20tac%20co%20ban.doc" TargetMode="External"/><Relationship Id="rId11" Type="http://schemas.openxmlformats.org/officeDocument/2006/relationships/hyperlink" Target="http://p.kiemdinhxaydungvinhlong.com/p/Portals/0/Gioi%20thieu/van%20ban%20moi/word/TIEU%20CHUAN/TC%20nghiem%20thu/12TCXD%20184-1997%20Nha%20cao%20tang-Ct%20khao%20sat%20dia%20ky%20thuat.doc" TargetMode="External"/><Relationship Id="rId5" Type="http://schemas.openxmlformats.org/officeDocument/2006/relationships/hyperlink" Target="http://p.kiemdinhxaydungvinhlong.com/p/Portals/0/Gioi%20thieu/van%20ban%20moi/word/TIEU%20CHUAN/TC%20nghiem%20thu/6TCVN%205637-1991-QLCL%20xay%20lap%20cong%20trinh%20XD.doc" TargetMode="External"/><Relationship Id="rId15" Type="http://schemas.openxmlformats.org/officeDocument/2006/relationships/hyperlink" Target="http://p.kiemdinhxaydungvinhlong.com/p/Default.aspx?tabid=256" TargetMode="External"/><Relationship Id="rId10" Type="http://schemas.openxmlformats.org/officeDocument/2006/relationships/hyperlink" Target="http://p.kiemdinhxaydungvinhlong.com/p/Portals/0/Gioi%20thieu/van%20ban%20moi/word/TIEU%20CHUAN/TC%20nghiem%20thu/10TCVN%205718-1993-Mai%20va%20san%20BTCT%20trong%20CTXD.doc" TargetMode="External"/><Relationship Id="rId4" Type="http://schemas.openxmlformats.org/officeDocument/2006/relationships/hyperlink" Target="http://p.kiemdinhxaydungvinhlong.com/p/Portals/0/Gioi%20thieu/van%20ban%20moi/word/TIEU%20CHUAN/TC%20nghiem%20thu/5TCVN%204519-1988-He%20thong%20cap%20thoat%20nuoc%20trong%20va%20ngoai%20nha.doc" TargetMode="External"/><Relationship Id="rId9" Type="http://schemas.openxmlformats.org/officeDocument/2006/relationships/hyperlink" Target="http://p.kiemdinhxaydungvinhlong.com/p/Portals/0/Gioi%20thieu/van%20ban%20moi/word/TIEU%20CHUAN/TC%20nghiem%20thu/9TCVN%205674-1992-Cong%20tac%20hoan%20thien%20trong%20xay%20dung.doc" TargetMode="External"/><Relationship Id="rId14" Type="http://schemas.openxmlformats.org/officeDocument/2006/relationships/hyperlink" Target="http://p.kiemdinhxaydungvinhlong.com/p/Portals/0/Gioi%20thieu/van%20ban%20moi/word/TIEU%20CHUAN/TC%20nghiem%20thu/15TCVN%204252-1988%20Quy%20trinh%20lap%20TKTCXD%20va%20TKTC.doc"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9.bin"/><Relationship Id="rId4" Type="http://schemas.openxmlformats.org/officeDocument/2006/relationships/comments" Target="../comments3.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5.xml"/><Relationship Id="rId1" Type="http://schemas.openxmlformats.org/officeDocument/2006/relationships/printerSettings" Target="../printerSettings/printerSettings23.bin"/><Relationship Id="rId4" Type="http://schemas.openxmlformats.org/officeDocument/2006/relationships/ctrlProp" Target="../ctrlProps/ctrlProp1.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6.xml"/><Relationship Id="rId1" Type="http://schemas.openxmlformats.org/officeDocument/2006/relationships/printerSettings" Target="../printerSettings/printerSettings24.bin"/><Relationship Id="rId4" Type="http://schemas.openxmlformats.org/officeDocument/2006/relationships/ctrlProp" Target="../ctrlProps/ctrlProp2.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9.xml"/><Relationship Id="rId1" Type="http://schemas.openxmlformats.org/officeDocument/2006/relationships/printerSettings" Target="../printerSettings/printerSettings27.bin"/><Relationship Id="rId4" Type="http://schemas.openxmlformats.org/officeDocument/2006/relationships/comments" Target="../comments4.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00B050"/>
  </sheetPr>
  <dimension ref="A1:V1586"/>
  <sheetViews>
    <sheetView zoomScale="85" zoomScaleNormal="85" workbookViewId="0">
      <pane xSplit="4" ySplit="2" topLeftCell="E3" activePane="bottomRight" state="frozen"/>
      <selection pane="topRight" activeCell="E1" sqref="E1"/>
      <selection pane="bottomLeft" activeCell="A3" sqref="A3"/>
      <selection pane="bottomRight" activeCell="U14" sqref="U14"/>
    </sheetView>
  </sheetViews>
  <sheetFormatPr defaultRowHeight="15.75"/>
  <cols>
    <col min="1" max="1" width="4.5" style="139" bestFit="1" customWidth="1"/>
    <col min="2" max="2" width="12.75" style="139" bestFit="1" customWidth="1"/>
    <col min="3" max="3" width="11.625" style="139" bestFit="1" customWidth="1"/>
    <col min="4" max="4" width="72.75" style="140" customWidth="1"/>
    <col min="5" max="5" width="24.125" style="141" bestFit="1" customWidth="1"/>
    <col min="6" max="6" width="20.25" style="141" customWidth="1"/>
    <col min="7" max="7" width="16.25" style="141" customWidth="1"/>
    <col min="8" max="8" width="16.625" style="141" customWidth="1"/>
    <col min="9" max="11" width="12.25" style="139" customWidth="1"/>
    <col min="12" max="12" width="10" style="139" bestFit="1" customWidth="1"/>
    <col min="13" max="13" width="10" style="139" customWidth="1"/>
    <col min="14" max="16" width="13.75" style="139" customWidth="1"/>
    <col min="17" max="17" width="26.25" style="139" hidden="1" customWidth="1"/>
    <col min="18" max="18" width="19.125" style="139" hidden="1" customWidth="1"/>
    <col min="19" max="19" width="1.25" style="165" customWidth="1"/>
    <col min="20" max="20" width="41.625" style="139" bestFit="1" customWidth="1"/>
    <col min="21" max="21" width="26.5" style="139" customWidth="1"/>
    <col min="22" max="22" width="1.625" style="165" customWidth="1"/>
    <col min="23" max="16384" width="9" style="139"/>
  </cols>
  <sheetData>
    <row r="1" spans="1:22" ht="28.5">
      <c r="A1" s="150" t="s">
        <v>0</v>
      </c>
      <c r="B1" s="150" t="s">
        <v>1063</v>
      </c>
      <c r="C1" s="150" t="s">
        <v>1604</v>
      </c>
      <c r="D1" s="331" t="s">
        <v>932</v>
      </c>
      <c r="E1" s="151" t="s">
        <v>933</v>
      </c>
      <c r="F1" s="151" t="s">
        <v>934</v>
      </c>
      <c r="G1" s="151" t="s">
        <v>1065</v>
      </c>
      <c r="H1" s="151" t="s">
        <v>1064</v>
      </c>
      <c r="I1" s="138" t="s">
        <v>1074</v>
      </c>
      <c r="J1" s="138" t="s">
        <v>1075</v>
      </c>
      <c r="K1" s="138" t="s">
        <v>1073</v>
      </c>
      <c r="L1" s="346" t="s">
        <v>1079</v>
      </c>
      <c r="M1" s="346" t="s">
        <v>1080</v>
      </c>
      <c r="N1" s="347" t="s">
        <v>1076</v>
      </c>
      <c r="O1" s="347" t="s">
        <v>1077</v>
      </c>
      <c r="P1" s="347" t="s">
        <v>1078</v>
      </c>
      <c r="Q1" s="348" t="s">
        <v>1081</v>
      </c>
      <c r="R1" s="153" t="s">
        <v>1082</v>
      </c>
      <c r="T1" s="170" t="s">
        <v>1131</v>
      </c>
      <c r="U1" s="170" t="s">
        <v>1132</v>
      </c>
    </row>
    <row r="2" spans="1:22" s="156" customFormat="1">
      <c r="A2" s="187"/>
      <c r="B2" s="187"/>
      <c r="C2" s="187">
        <v>1</v>
      </c>
      <c r="D2" s="187">
        <v>2</v>
      </c>
      <c r="E2" s="187">
        <v>3</v>
      </c>
      <c r="F2" s="187">
        <v>4</v>
      </c>
      <c r="G2" s="187">
        <v>5</v>
      </c>
      <c r="H2" s="187">
        <v>6</v>
      </c>
      <c r="I2" s="187">
        <v>7</v>
      </c>
      <c r="J2" s="187">
        <v>8</v>
      </c>
      <c r="K2" s="344">
        <v>9</v>
      </c>
      <c r="L2" s="343">
        <v>10</v>
      </c>
      <c r="M2" s="343">
        <v>11</v>
      </c>
      <c r="N2" s="343">
        <v>12</v>
      </c>
      <c r="O2" s="343">
        <v>13</v>
      </c>
      <c r="P2" s="343">
        <v>14</v>
      </c>
      <c r="Q2" s="343">
        <v>15</v>
      </c>
      <c r="R2" s="345">
        <v>16</v>
      </c>
      <c r="S2" s="178"/>
      <c r="V2" s="178"/>
    </row>
    <row r="3" spans="1:22" s="186" customFormat="1">
      <c r="A3" s="186">
        <v>1</v>
      </c>
      <c r="B3" s="186" t="s">
        <v>1819</v>
      </c>
      <c r="C3" s="186" t="s">
        <v>1600</v>
      </c>
      <c r="D3" s="140" t="s">
        <v>1780</v>
      </c>
      <c r="E3" s="141" t="s">
        <v>1829</v>
      </c>
      <c r="F3" s="141" t="s">
        <v>1756</v>
      </c>
      <c r="G3" s="154" t="str">
        <f>A3&amp;"/"&amp;B3</f>
        <v>1/DMTH3PC</v>
      </c>
      <c r="H3" s="141" t="str">
        <f>A3&amp;"/"&amp;B3</f>
        <v>1/DMTH3PC</v>
      </c>
      <c r="I3" s="177" t="str">
        <f>TEXT(DAY(K3),"00")</f>
        <v>18</v>
      </c>
      <c r="J3" s="177" t="str">
        <f>TEXT(MONTH(K3),"00")</f>
        <v>08</v>
      </c>
      <c r="K3" s="155">
        <f>P3-1</f>
        <v>41869</v>
      </c>
      <c r="L3" s="186" t="s">
        <v>1850</v>
      </c>
      <c r="M3" s="186" t="s">
        <v>1851</v>
      </c>
      <c r="N3" s="177" t="str">
        <f>TEXT(DAY(P3),"00")</f>
        <v>19</v>
      </c>
      <c r="O3" s="177" t="str">
        <f>TEXT(MONTH(P3),"00")</f>
        <v>08</v>
      </c>
      <c r="P3" s="155">
        <v>41870</v>
      </c>
      <c r="Q3" s="186" t="s">
        <v>1757</v>
      </c>
      <c r="R3" s="186" t="s">
        <v>873</v>
      </c>
      <c r="S3" s="165"/>
      <c r="T3" s="188" t="str">
        <f>"Mục : "&amp;E3</f>
        <v>Mục : Nhà tiểu học 3 phòng</v>
      </c>
      <c r="U3" s="188" t="str">
        <f>F3</f>
        <v>Điểm TĐC Pom Chốn</v>
      </c>
      <c r="V3" s="165"/>
    </row>
    <row r="4" spans="1:22" s="186" customFormat="1">
      <c r="A4" s="186">
        <f>A3+1</f>
        <v>2</v>
      </c>
      <c r="B4" s="186" t="s">
        <v>1820</v>
      </c>
      <c r="C4" s="186" t="s">
        <v>1491</v>
      </c>
      <c r="D4" s="140" t="s">
        <v>1781</v>
      </c>
      <c r="E4" s="141" t="s">
        <v>1829</v>
      </c>
      <c r="F4" s="141" t="s">
        <v>1756</v>
      </c>
      <c r="G4" s="154" t="str">
        <f t="shared" ref="G4:G39" si="0">A4&amp;"/"&amp;B4</f>
        <v>2/VLTH3PC</v>
      </c>
      <c r="H4" s="141" t="str">
        <f t="shared" ref="H4:H39" si="1">A4&amp;"/"&amp;B4</f>
        <v>2/VLTH3PC</v>
      </c>
      <c r="I4" s="177" t="str">
        <f t="shared" ref="I4:I22" si="2">TEXT(DAY(K4),"00")</f>
        <v>18</v>
      </c>
      <c r="J4" s="177" t="str">
        <f t="shared" ref="J4:J22" si="3">TEXT(MONTH(K4),"00")</f>
        <v>08</v>
      </c>
      <c r="K4" s="155">
        <f t="shared" ref="K4:K50" si="4">P4-1</f>
        <v>41869</v>
      </c>
      <c r="L4" s="186" t="s">
        <v>1850</v>
      </c>
      <c r="M4" s="186" t="s">
        <v>1851</v>
      </c>
      <c r="N4" s="177" t="str">
        <f t="shared" ref="N4:N22" si="5">TEXT(DAY(P4),"00")</f>
        <v>19</v>
      </c>
      <c r="O4" s="177" t="str">
        <f t="shared" ref="O4:O22" si="6">TEXT(MONTH(P4),"00")</f>
        <v>08</v>
      </c>
      <c r="P4" s="155">
        <f>P3</f>
        <v>41870</v>
      </c>
      <c r="Q4" s="186" t="s">
        <v>1757</v>
      </c>
      <c r="R4" s="186" t="s">
        <v>873</v>
      </c>
      <c r="S4" s="165"/>
      <c r="V4" s="165"/>
    </row>
    <row r="5" spans="1:22" s="186" customFormat="1">
      <c r="A5" s="186">
        <f t="shared" ref="A5:A68" si="7">A4</f>
        <v>2</v>
      </c>
      <c r="B5" s="186" t="s">
        <v>1821</v>
      </c>
      <c r="C5" s="186" t="s">
        <v>1492</v>
      </c>
      <c r="D5" s="140" t="s">
        <v>1782</v>
      </c>
      <c r="E5" s="141" t="s">
        <v>1829</v>
      </c>
      <c r="F5" s="141" t="s">
        <v>1756</v>
      </c>
      <c r="G5" s="154" t="str">
        <f t="shared" si="0"/>
        <v>2/VKTH3PC</v>
      </c>
      <c r="H5" s="141" t="str">
        <f t="shared" si="1"/>
        <v>2/VKTH3PC</v>
      </c>
      <c r="I5" s="177" t="str">
        <f t="shared" si="2"/>
        <v>18</v>
      </c>
      <c r="J5" s="177" t="str">
        <f t="shared" si="3"/>
        <v>08</v>
      </c>
      <c r="K5" s="155">
        <f t="shared" si="4"/>
        <v>41869</v>
      </c>
      <c r="L5" s="186" t="s">
        <v>1851</v>
      </c>
      <c r="M5" s="186" t="s">
        <v>1852</v>
      </c>
      <c r="N5" s="177" t="str">
        <f t="shared" si="5"/>
        <v>19</v>
      </c>
      <c r="O5" s="177" t="str">
        <f t="shared" si="6"/>
        <v>08</v>
      </c>
      <c r="P5" s="155">
        <f t="shared" ref="P5:P8" si="8">P4</f>
        <v>41870</v>
      </c>
      <c r="Q5" s="186" t="s">
        <v>1757</v>
      </c>
      <c r="R5" s="186" t="s">
        <v>873</v>
      </c>
      <c r="S5" s="165"/>
      <c r="V5" s="165"/>
    </row>
    <row r="6" spans="1:22" s="186" customFormat="1">
      <c r="A6" s="186">
        <f t="shared" si="7"/>
        <v>2</v>
      </c>
      <c r="B6" s="186" t="s">
        <v>1822</v>
      </c>
      <c r="C6" s="186" t="s">
        <v>1493</v>
      </c>
      <c r="D6" s="140" t="s">
        <v>1783</v>
      </c>
      <c r="E6" s="141" t="s">
        <v>1829</v>
      </c>
      <c r="F6" s="141" t="s">
        <v>1756</v>
      </c>
      <c r="G6" s="154" t="str">
        <f t="shared" si="0"/>
        <v>2/CBTH3PC</v>
      </c>
      <c r="H6" s="141" t="str">
        <f t="shared" si="1"/>
        <v>2/CBTH3PC</v>
      </c>
      <c r="I6" s="177" t="str">
        <f t="shared" si="2"/>
        <v>18</v>
      </c>
      <c r="J6" s="177" t="str">
        <f t="shared" si="3"/>
        <v>08</v>
      </c>
      <c r="K6" s="155">
        <f t="shared" si="4"/>
        <v>41869</v>
      </c>
      <c r="L6" s="186" t="s">
        <v>1852</v>
      </c>
      <c r="M6" s="186" t="s">
        <v>1853</v>
      </c>
      <c r="N6" s="177" t="str">
        <f t="shared" si="5"/>
        <v>19</v>
      </c>
      <c r="O6" s="177" t="str">
        <f t="shared" si="6"/>
        <v>08</v>
      </c>
      <c r="P6" s="155">
        <f t="shared" si="8"/>
        <v>41870</v>
      </c>
      <c r="Q6" s="186" t="s">
        <v>1757</v>
      </c>
      <c r="R6" s="186" t="s">
        <v>873</v>
      </c>
      <c r="S6" s="165"/>
      <c r="V6" s="165"/>
    </row>
    <row r="7" spans="1:22" s="186" customFormat="1">
      <c r="A7" s="186">
        <f t="shared" si="7"/>
        <v>2</v>
      </c>
      <c r="B7" s="186" t="s">
        <v>1823</v>
      </c>
      <c r="C7" s="186" t="s">
        <v>1743</v>
      </c>
      <c r="D7" s="140" t="s">
        <v>1784</v>
      </c>
      <c r="E7" s="141" t="s">
        <v>1829</v>
      </c>
      <c r="F7" s="141" t="s">
        <v>1756</v>
      </c>
      <c r="G7" s="154" t="str">
        <f t="shared" si="0"/>
        <v>2/GSTH3PC</v>
      </c>
      <c r="H7" s="141" t="str">
        <f t="shared" si="1"/>
        <v>2/GSTH3PC</v>
      </c>
      <c r="I7" s="177" t="str">
        <f t="shared" si="2"/>
        <v>18</v>
      </c>
      <c r="J7" s="177" t="str">
        <f t="shared" si="3"/>
        <v>08</v>
      </c>
      <c r="K7" s="155">
        <f t="shared" si="4"/>
        <v>41869</v>
      </c>
      <c r="L7" s="186" t="s">
        <v>1854</v>
      </c>
      <c r="M7" s="186" t="s">
        <v>1855</v>
      </c>
      <c r="N7" s="177" t="str">
        <f t="shared" si="5"/>
        <v>19</v>
      </c>
      <c r="O7" s="177" t="str">
        <f t="shared" si="6"/>
        <v>08</v>
      </c>
      <c r="P7" s="155">
        <f t="shared" si="8"/>
        <v>41870</v>
      </c>
      <c r="Q7" s="186" t="s">
        <v>1757</v>
      </c>
      <c r="R7" s="186" t="s">
        <v>873</v>
      </c>
      <c r="S7" s="165"/>
      <c r="V7" s="165"/>
    </row>
    <row r="8" spans="1:22" s="186" customFormat="1">
      <c r="A8" s="186">
        <f t="shared" si="7"/>
        <v>2</v>
      </c>
      <c r="B8" s="186" t="s">
        <v>1824</v>
      </c>
      <c r="C8" s="186" t="s">
        <v>1494</v>
      </c>
      <c r="D8" s="140" t="s">
        <v>1785</v>
      </c>
      <c r="E8" s="141" t="s">
        <v>1829</v>
      </c>
      <c r="F8" s="141" t="s">
        <v>1756</v>
      </c>
      <c r="G8" s="154" t="str">
        <f t="shared" si="0"/>
        <v>2/LMTH3PC</v>
      </c>
      <c r="H8" s="141" t="str">
        <f t="shared" si="1"/>
        <v>2/LMTH3PC</v>
      </c>
      <c r="I8" s="177" t="str">
        <f t="shared" si="2"/>
        <v>18</v>
      </c>
      <c r="J8" s="177" t="str">
        <f t="shared" si="3"/>
        <v>08</v>
      </c>
      <c r="K8" s="155">
        <f t="shared" si="4"/>
        <v>41869</v>
      </c>
      <c r="L8" s="186" t="s">
        <v>1854</v>
      </c>
      <c r="M8" s="186" t="s">
        <v>1855</v>
      </c>
      <c r="N8" s="177" t="str">
        <f t="shared" si="5"/>
        <v>19</v>
      </c>
      <c r="O8" s="177" t="str">
        <f t="shared" si="6"/>
        <v>08</v>
      </c>
      <c r="P8" s="155">
        <f t="shared" si="8"/>
        <v>41870</v>
      </c>
      <c r="Q8" s="186" t="s">
        <v>1757</v>
      </c>
      <c r="R8" s="186" t="s">
        <v>873</v>
      </c>
      <c r="S8" s="165"/>
      <c r="V8" s="165"/>
    </row>
    <row r="9" spans="1:22" s="186" customFormat="1">
      <c r="A9" s="186">
        <f t="shared" si="7"/>
        <v>2</v>
      </c>
      <c r="B9" s="186" t="s">
        <v>1825</v>
      </c>
      <c r="C9" s="186" t="s">
        <v>1524</v>
      </c>
      <c r="D9" s="140" t="s">
        <v>1786</v>
      </c>
      <c r="E9" s="141" t="s">
        <v>1829</v>
      </c>
      <c r="F9" s="141" t="s">
        <v>1756</v>
      </c>
      <c r="G9" s="154" t="str">
        <f t="shared" ref="G9" si="9">A9&amp;"/"&amp;B9</f>
        <v>2/TVKTH3PC</v>
      </c>
      <c r="H9" s="141" t="str">
        <f t="shared" ref="H9" si="10">A9&amp;"/"&amp;B9</f>
        <v>2/TVKTH3PC</v>
      </c>
      <c r="I9" s="177" t="str">
        <f t="shared" si="2"/>
        <v>21</v>
      </c>
      <c r="J9" s="177" t="str">
        <f t="shared" si="3"/>
        <v>08</v>
      </c>
      <c r="K9" s="155">
        <f t="shared" ref="K9" si="11">P9-1</f>
        <v>41872</v>
      </c>
      <c r="L9" s="186" t="s">
        <v>1850</v>
      </c>
      <c r="M9" s="186" t="s">
        <v>1851</v>
      </c>
      <c r="N9" s="177" t="str">
        <f t="shared" si="5"/>
        <v>22</v>
      </c>
      <c r="O9" s="177" t="str">
        <f t="shared" si="6"/>
        <v>08</v>
      </c>
      <c r="P9" s="155">
        <f>P8+3</f>
        <v>41873</v>
      </c>
      <c r="Q9" s="186" t="s">
        <v>1757</v>
      </c>
      <c r="R9" s="186" t="s">
        <v>873</v>
      </c>
      <c r="S9" s="165"/>
      <c r="V9" s="165"/>
    </row>
    <row r="10" spans="1:22" s="186" customFormat="1">
      <c r="A10" s="186">
        <f t="shared" si="7"/>
        <v>2</v>
      </c>
      <c r="B10" s="342" t="s">
        <v>1826</v>
      </c>
      <c r="C10" s="342" t="s">
        <v>1601</v>
      </c>
      <c r="D10" s="320" t="s">
        <v>1787</v>
      </c>
      <c r="E10" s="141" t="s">
        <v>1829</v>
      </c>
      <c r="F10" s="141" t="s">
        <v>1756</v>
      </c>
      <c r="G10" s="154" t="str">
        <f t="shared" ref="G10" si="12">A10&amp;"/"&amp;B10</f>
        <v>2/BTTH3PC</v>
      </c>
      <c r="H10" s="141" t="str">
        <f t="shared" ref="H10" si="13">A10&amp;"/"&amp;B10</f>
        <v>2/BTTH3PC</v>
      </c>
      <c r="I10" s="177" t="str">
        <f t="shared" si="2"/>
        <v>15</v>
      </c>
      <c r="J10" s="177" t="str">
        <f t="shared" si="3"/>
        <v>09</v>
      </c>
      <c r="K10" s="155">
        <f t="shared" ref="K10" si="14">P10-1</f>
        <v>41897</v>
      </c>
      <c r="L10" s="186" t="s">
        <v>1850</v>
      </c>
      <c r="M10" s="186" t="s">
        <v>1851</v>
      </c>
      <c r="N10" s="177" t="str">
        <f t="shared" si="5"/>
        <v>16</v>
      </c>
      <c r="O10" s="177" t="str">
        <f t="shared" si="6"/>
        <v>09</v>
      </c>
      <c r="P10" s="350">
        <f>P8+28</f>
        <v>41898</v>
      </c>
      <c r="Q10" s="186" t="s">
        <v>1757</v>
      </c>
      <c r="R10" s="186" t="s">
        <v>873</v>
      </c>
    </row>
    <row r="11" spans="1:22" s="186" customFormat="1">
      <c r="A11" s="186">
        <f>A10+1</f>
        <v>3</v>
      </c>
      <c r="B11" s="186" t="s">
        <v>1820</v>
      </c>
      <c r="C11" s="186" t="s">
        <v>1469</v>
      </c>
      <c r="D11" s="140" t="s">
        <v>1788</v>
      </c>
      <c r="E11" s="141" t="s">
        <v>1829</v>
      </c>
      <c r="F11" s="141" t="s">
        <v>1756</v>
      </c>
      <c r="G11" s="154" t="str">
        <f t="shared" ref="G11" si="15">A11&amp;"/"&amp;B11</f>
        <v>3/VLTH3PC</v>
      </c>
      <c r="H11" s="141" t="str">
        <f t="shared" ref="H11" si="16">A11&amp;"/"&amp;B11</f>
        <v>3/VLTH3PC</v>
      </c>
      <c r="I11" s="177" t="str">
        <f t="shared" si="2"/>
        <v>22</v>
      </c>
      <c r="J11" s="177" t="str">
        <f t="shared" si="3"/>
        <v>08</v>
      </c>
      <c r="K11" s="155">
        <f t="shared" ref="K11" si="17">P11-1</f>
        <v>41873</v>
      </c>
      <c r="L11" s="186" t="s">
        <v>1850</v>
      </c>
      <c r="M11" s="186" t="s">
        <v>1851</v>
      </c>
      <c r="N11" s="177" t="str">
        <f t="shared" si="5"/>
        <v>23</v>
      </c>
      <c r="O11" s="177" t="str">
        <f t="shared" si="6"/>
        <v>08</v>
      </c>
      <c r="P11" s="155">
        <f>P9+1</f>
        <v>41874</v>
      </c>
      <c r="Q11" s="186" t="s">
        <v>1757</v>
      </c>
      <c r="R11" s="186" t="s">
        <v>873</v>
      </c>
      <c r="S11" s="165"/>
      <c r="V11" s="165"/>
    </row>
    <row r="12" spans="1:22" s="186" customFormat="1">
      <c r="A12" s="186">
        <f t="shared" si="7"/>
        <v>3</v>
      </c>
      <c r="B12" s="186" t="s">
        <v>1824</v>
      </c>
      <c r="C12" s="186" t="s">
        <v>1470</v>
      </c>
      <c r="D12" s="140" t="s">
        <v>1789</v>
      </c>
      <c r="E12" s="141" t="s">
        <v>1829</v>
      </c>
      <c r="F12" s="141" t="s">
        <v>1756</v>
      </c>
      <c r="G12" s="154" t="str">
        <f t="shared" ref="G12" si="18">A12&amp;"/"&amp;B12</f>
        <v>3/LMTH3PC</v>
      </c>
      <c r="H12" s="141" t="str">
        <f t="shared" ref="H12" si="19">A12&amp;"/"&amp;B12</f>
        <v>3/LMTH3PC</v>
      </c>
      <c r="I12" s="177" t="str">
        <f t="shared" si="2"/>
        <v>23</v>
      </c>
      <c r="J12" s="177" t="str">
        <f t="shared" si="3"/>
        <v>08</v>
      </c>
      <c r="K12" s="155">
        <f t="shared" ref="K12" si="20">P12-1</f>
        <v>41874</v>
      </c>
      <c r="L12" s="186" t="s">
        <v>1851</v>
      </c>
      <c r="M12" s="186" t="s">
        <v>1852</v>
      </c>
      <c r="N12" s="177" t="str">
        <f t="shared" si="5"/>
        <v>24</v>
      </c>
      <c r="O12" s="177" t="str">
        <f t="shared" si="6"/>
        <v>08</v>
      </c>
      <c r="P12" s="155">
        <f>P11+1</f>
        <v>41875</v>
      </c>
      <c r="Q12" s="186" t="s">
        <v>1757</v>
      </c>
      <c r="R12" s="186" t="s">
        <v>873</v>
      </c>
      <c r="S12" s="165"/>
      <c r="V12" s="165"/>
    </row>
    <row r="13" spans="1:22" s="186" customFormat="1">
      <c r="A13" s="186">
        <f t="shared" si="7"/>
        <v>3</v>
      </c>
      <c r="B13" s="342" t="s">
        <v>1827</v>
      </c>
      <c r="C13" s="342" t="s">
        <v>1471</v>
      </c>
      <c r="D13" s="320" t="s">
        <v>1790</v>
      </c>
      <c r="E13" s="141" t="s">
        <v>1829</v>
      </c>
      <c r="F13" s="141" t="s">
        <v>1756</v>
      </c>
      <c r="G13" s="154" t="str">
        <f t="shared" si="0"/>
        <v>3/XAYTH3PC</v>
      </c>
      <c r="H13" s="141" t="str">
        <f t="shared" si="1"/>
        <v>3/XAYTH3PC</v>
      </c>
      <c r="I13" s="177" t="str">
        <f t="shared" si="2"/>
        <v>25</v>
      </c>
      <c r="J13" s="177" t="str">
        <f t="shared" si="3"/>
        <v>08</v>
      </c>
      <c r="K13" s="155">
        <f t="shared" si="4"/>
        <v>41876</v>
      </c>
      <c r="L13" s="186" t="s">
        <v>1855</v>
      </c>
      <c r="M13" s="186" t="s">
        <v>1856</v>
      </c>
      <c r="N13" s="177" t="str">
        <f t="shared" si="5"/>
        <v>26</v>
      </c>
      <c r="O13" s="177" t="str">
        <f t="shared" si="6"/>
        <v>08</v>
      </c>
      <c r="P13" s="350">
        <v>41877</v>
      </c>
      <c r="Q13" s="186" t="s">
        <v>1757</v>
      </c>
      <c r="R13" s="186" t="s">
        <v>873</v>
      </c>
      <c r="S13" s="165"/>
      <c r="V13" s="165"/>
    </row>
    <row r="14" spans="1:22" s="186" customFormat="1">
      <c r="A14" s="186">
        <f>A13+1</f>
        <v>4</v>
      </c>
      <c r="B14" s="186" t="s">
        <v>1820</v>
      </c>
      <c r="C14" s="186" t="s">
        <v>1495</v>
      </c>
      <c r="D14" s="140" t="s">
        <v>1758</v>
      </c>
      <c r="E14" s="141" t="s">
        <v>1829</v>
      </c>
      <c r="F14" s="141" t="s">
        <v>1756</v>
      </c>
      <c r="G14" s="154" t="str">
        <f t="shared" ref="G14:G36" si="21">A14&amp;"/"&amp;B14</f>
        <v>4/VLTH3PC</v>
      </c>
      <c r="H14" s="141" t="str">
        <f t="shared" ref="H14:H36" si="22">A14&amp;"/"&amp;B14</f>
        <v>4/VLTH3PC</v>
      </c>
      <c r="I14" s="177" t="str">
        <f t="shared" si="2"/>
        <v>26</v>
      </c>
      <c r="J14" s="177" t="str">
        <f t="shared" si="3"/>
        <v>08</v>
      </c>
      <c r="K14" s="155">
        <f t="shared" ref="K14:K36" si="23">P14-1</f>
        <v>41877</v>
      </c>
      <c r="L14" s="186" t="s">
        <v>1850</v>
      </c>
      <c r="M14" s="186" t="s">
        <v>1851</v>
      </c>
      <c r="N14" s="177" t="str">
        <f t="shared" si="5"/>
        <v>27</v>
      </c>
      <c r="O14" s="177" t="str">
        <f t="shared" si="6"/>
        <v>08</v>
      </c>
      <c r="P14" s="155">
        <v>41878</v>
      </c>
      <c r="Q14" s="186" t="s">
        <v>1757</v>
      </c>
      <c r="R14" s="186" t="s">
        <v>873</v>
      </c>
      <c r="S14" s="165"/>
      <c r="V14" s="165"/>
    </row>
    <row r="15" spans="1:22" s="186" customFormat="1">
      <c r="A15" s="186">
        <f t="shared" si="7"/>
        <v>4</v>
      </c>
      <c r="B15" s="186" t="s">
        <v>1821</v>
      </c>
      <c r="C15" s="186" t="s">
        <v>1536</v>
      </c>
      <c r="D15" s="140" t="s">
        <v>1759</v>
      </c>
      <c r="E15" s="141" t="s">
        <v>1829</v>
      </c>
      <c r="F15" s="141" t="s">
        <v>1756</v>
      </c>
      <c r="G15" s="154" t="str">
        <f t="shared" si="21"/>
        <v>4/VKTH3PC</v>
      </c>
      <c r="H15" s="141" t="str">
        <f t="shared" si="22"/>
        <v>4/VKTH3PC</v>
      </c>
      <c r="I15" s="177" t="str">
        <f t="shared" si="2"/>
        <v>26</v>
      </c>
      <c r="J15" s="177" t="str">
        <f t="shared" si="3"/>
        <v>08</v>
      </c>
      <c r="K15" s="155">
        <f t="shared" si="23"/>
        <v>41877</v>
      </c>
      <c r="L15" s="186" t="s">
        <v>1850</v>
      </c>
      <c r="M15" s="186" t="s">
        <v>1851</v>
      </c>
      <c r="N15" s="177" t="str">
        <f t="shared" si="5"/>
        <v>27</v>
      </c>
      <c r="O15" s="177" t="str">
        <f t="shared" si="6"/>
        <v>08</v>
      </c>
      <c r="P15" s="155">
        <f>P14</f>
        <v>41878</v>
      </c>
      <c r="Q15" s="186" t="s">
        <v>1757</v>
      </c>
      <c r="R15" s="186" t="s">
        <v>873</v>
      </c>
      <c r="S15" s="165"/>
      <c r="V15" s="165"/>
    </row>
    <row r="16" spans="1:22" s="186" customFormat="1">
      <c r="A16" s="186">
        <f t="shared" si="7"/>
        <v>4</v>
      </c>
      <c r="B16" s="186" t="s">
        <v>1828</v>
      </c>
      <c r="C16" s="186" t="s">
        <v>1496</v>
      </c>
      <c r="D16" s="140" t="s">
        <v>1760</v>
      </c>
      <c r="E16" s="141" t="s">
        <v>1829</v>
      </c>
      <c r="F16" s="141" t="s">
        <v>1756</v>
      </c>
      <c r="G16" s="154" t="str">
        <f t="shared" si="21"/>
        <v>4/CTTH3PC</v>
      </c>
      <c r="H16" s="141" t="str">
        <f t="shared" si="22"/>
        <v>4/CTTH3PC</v>
      </c>
      <c r="I16" s="177" t="str">
        <f t="shared" si="2"/>
        <v>26</v>
      </c>
      <c r="J16" s="177" t="str">
        <f t="shared" si="3"/>
        <v>08</v>
      </c>
      <c r="K16" s="155">
        <f t="shared" si="23"/>
        <v>41877</v>
      </c>
      <c r="L16" s="186" t="s">
        <v>1851</v>
      </c>
      <c r="M16" s="186" t="s">
        <v>1852</v>
      </c>
      <c r="N16" s="177" t="str">
        <f t="shared" si="5"/>
        <v>27</v>
      </c>
      <c r="O16" s="177" t="str">
        <f t="shared" si="6"/>
        <v>08</v>
      </c>
      <c r="P16" s="155">
        <f>P15</f>
        <v>41878</v>
      </c>
      <c r="Q16" s="186" t="s">
        <v>1757</v>
      </c>
      <c r="R16" s="186" t="s">
        <v>873</v>
      </c>
      <c r="S16" s="165"/>
      <c r="V16" s="165"/>
    </row>
    <row r="17" spans="1:22" s="186" customFormat="1">
      <c r="A17" s="186">
        <f t="shared" si="7"/>
        <v>4</v>
      </c>
      <c r="B17" s="186" t="s">
        <v>1822</v>
      </c>
      <c r="C17" s="186" t="s">
        <v>1497</v>
      </c>
      <c r="D17" s="140" t="s">
        <v>1791</v>
      </c>
      <c r="E17" s="141" t="s">
        <v>1829</v>
      </c>
      <c r="F17" s="141" t="s">
        <v>1756</v>
      </c>
      <c r="G17" s="154" t="str">
        <f t="shared" si="21"/>
        <v>4/CBTH3PC</v>
      </c>
      <c r="H17" s="141" t="str">
        <f t="shared" si="22"/>
        <v>4/CBTH3PC</v>
      </c>
      <c r="I17" s="177" t="str">
        <f t="shared" si="2"/>
        <v>26</v>
      </c>
      <c r="J17" s="177" t="str">
        <f t="shared" si="3"/>
        <v>08</v>
      </c>
      <c r="K17" s="155">
        <f t="shared" si="23"/>
        <v>41877</v>
      </c>
      <c r="L17" s="186" t="s">
        <v>1852</v>
      </c>
      <c r="M17" s="186" t="s">
        <v>1853</v>
      </c>
      <c r="N17" s="177" t="str">
        <f t="shared" si="5"/>
        <v>27</v>
      </c>
      <c r="O17" s="177" t="str">
        <f t="shared" si="6"/>
        <v>08</v>
      </c>
      <c r="P17" s="155">
        <f>P16</f>
        <v>41878</v>
      </c>
      <c r="Q17" s="186" t="s">
        <v>1757</v>
      </c>
      <c r="R17" s="186" t="s">
        <v>873</v>
      </c>
      <c r="S17" s="165"/>
      <c r="V17" s="165"/>
    </row>
    <row r="18" spans="1:22" s="186" customFormat="1">
      <c r="A18" s="186">
        <f t="shared" si="7"/>
        <v>4</v>
      </c>
      <c r="B18" s="186" t="s">
        <v>1823</v>
      </c>
      <c r="C18" s="186" t="s">
        <v>1744</v>
      </c>
      <c r="D18" s="140" t="s">
        <v>1761</v>
      </c>
      <c r="E18" s="141" t="s">
        <v>1829</v>
      </c>
      <c r="F18" s="141" t="s">
        <v>1756</v>
      </c>
      <c r="G18" s="154" t="str">
        <f t="shared" si="21"/>
        <v>4/GSTH3PC</v>
      </c>
      <c r="H18" s="141" t="str">
        <f t="shared" si="22"/>
        <v>4/GSTH3PC</v>
      </c>
      <c r="I18" s="177" t="str">
        <f t="shared" si="2"/>
        <v>26</v>
      </c>
      <c r="J18" s="177" t="str">
        <f t="shared" si="3"/>
        <v>08</v>
      </c>
      <c r="K18" s="155">
        <f t="shared" si="23"/>
        <v>41877</v>
      </c>
      <c r="L18" s="186" t="s">
        <v>1854</v>
      </c>
      <c r="M18" s="186" t="s">
        <v>1855</v>
      </c>
      <c r="N18" s="177" t="str">
        <f t="shared" si="5"/>
        <v>27</v>
      </c>
      <c r="O18" s="177" t="str">
        <f t="shared" si="6"/>
        <v>08</v>
      </c>
      <c r="P18" s="155">
        <f>P17</f>
        <v>41878</v>
      </c>
      <c r="Q18" s="186" t="s">
        <v>1757</v>
      </c>
      <c r="R18" s="186" t="s">
        <v>873</v>
      </c>
      <c r="S18" s="165"/>
      <c r="V18" s="165"/>
    </row>
    <row r="19" spans="1:22" s="186" customFormat="1">
      <c r="A19" s="186">
        <f t="shared" si="7"/>
        <v>4</v>
      </c>
      <c r="B19" s="186" t="s">
        <v>1824</v>
      </c>
      <c r="C19" s="186" t="s">
        <v>1498</v>
      </c>
      <c r="D19" s="140" t="s">
        <v>1762</v>
      </c>
      <c r="E19" s="141" t="s">
        <v>1829</v>
      </c>
      <c r="F19" s="141" t="s">
        <v>1756</v>
      </c>
      <c r="G19" s="154" t="str">
        <f t="shared" si="21"/>
        <v>4/LMTH3PC</v>
      </c>
      <c r="H19" s="141" t="str">
        <f t="shared" si="22"/>
        <v>4/LMTH3PC</v>
      </c>
      <c r="I19" s="177" t="str">
        <f t="shared" si="2"/>
        <v>26</v>
      </c>
      <c r="J19" s="177" t="str">
        <f t="shared" si="3"/>
        <v>08</v>
      </c>
      <c r="K19" s="155">
        <f t="shared" si="23"/>
        <v>41877</v>
      </c>
      <c r="L19" s="186" t="s">
        <v>1854</v>
      </c>
      <c r="M19" s="186" t="s">
        <v>1855</v>
      </c>
      <c r="N19" s="177" t="str">
        <f t="shared" si="5"/>
        <v>27</v>
      </c>
      <c r="O19" s="177" t="str">
        <f t="shared" si="6"/>
        <v>08</v>
      </c>
      <c r="P19" s="155">
        <f>P18</f>
        <v>41878</v>
      </c>
      <c r="Q19" s="186" t="s">
        <v>1757</v>
      </c>
      <c r="R19" s="186" t="s">
        <v>873</v>
      </c>
      <c r="S19" s="165"/>
      <c r="V19" s="165"/>
    </row>
    <row r="20" spans="1:22" s="186" customFormat="1">
      <c r="A20" s="186">
        <f t="shared" si="7"/>
        <v>4</v>
      </c>
      <c r="B20" s="186" t="s">
        <v>1825</v>
      </c>
      <c r="C20" s="186" t="s">
        <v>1537</v>
      </c>
      <c r="D20" s="140" t="s">
        <v>1792</v>
      </c>
      <c r="E20" s="141" t="s">
        <v>1829</v>
      </c>
      <c r="F20" s="141" t="s">
        <v>1756</v>
      </c>
      <c r="G20" s="154" t="str">
        <f t="shared" si="21"/>
        <v>4/TVKTH3PC</v>
      </c>
      <c r="H20" s="141" t="str">
        <f t="shared" si="22"/>
        <v>4/TVKTH3PC</v>
      </c>
      <c r="I20" s="177" t="str">
        <f t="shared" si="2"/>
        <v>29</v>
      </c>
      <c r="J20" s="177" t="str">
        <f t="shared" si="3"/>
        <v>08</v>
      </c>
      <c r="K20" s="155">
        <f t="shared" si="23"/>
        <v>41880</v>
      </c>
      <c r="L20" s="186" t="s">
        <v>1850</v>
      </c>
      <c r="M20" s="186" t="s">
        <v>1851</v>
      </c>
      <c r="N20" s="177" t="str">
        <f t="shared" si="5"/>
        <v>30</v>
      </c>
      <c r="O20" s="177" t="str">
        <f t="shared" si="6"/>
        <v>08</v>
      </c>
      <c r="P20" s="155">
        <f>P19+3</f>
        <v>41881</v>
      </c>
      <c r="Q20" s="186" t="s">
        <v>1757</v>
      </c>
      <c r="R20" s="186" t="s">
        <v>873</v>
      </c>
      <c r="S20" s="165"/>
      <c r="V20" s="165"/>
    </row>
    <row r="21" spans="1:22" s="186" customFormat="1">
      <c r="A21" s="186">
        <f t="shared" si="7"/>
        <v>4</v>
      </c>
      <c r="B21" s="186" t="s">
        <v>1826</v>
      </c>
      <c r="C21" s="186" t="s">
        <v>1602</v>
      </c>
      <c r="D21" s="140" t="s">
        <v>1763</v>
      </c>
      <c r="E21" s="141" t="s">
        <v>1829</v>
      </c>
      <c r="F21" s="141" t="s">
        <v>1756</v>
      </c>
      <c r="G21" s="154" t="str">
        <f t="shared" si="21"/>
        <v>4/BTTH3PC</v>
      </c>
      <c r="H21" s="141" t="str">
        <f t="shared" si="22"/>
        <v>4/BTTH3PC</v>
      </c>
      <c r="I21" s="177" t="str">
        <f t="shared" si="2"/>
        <v>23</v>
      </c>
      <c r="J21" s="177" t="str">
        <f t="shared" si="3"/>
        <v>09</v>
      </c>
      <c r="K21" s="155">
        <f t="shared" si="23"/>
        <v>41905</v>
      </c>
      <c r="L21" s="186" t="s">
        <v>1850</v>
      </c>
      <c r="M21" s="186" t="s">
        <v>1851</v>
      </c>
      <c r="N21" s="177" t="str">
        <f t="shared" si="5"/>
        <v>24</v>
      </c>
      <c r="O21" s="177" t="str">
        <f t="shared" si="6"/>
        <v>09</v>
      </c>
      <c r="P21" s="155">
        <f>P19+28</f>
        <v>41906</v>
      </c>
      <c r="Q21" s="186" t="s">
        <v>1757</v>
      </c>
      <c r="R21" s="186" t="s">
        <v>873</v>
      </c>
      <c r="S21" s="165"/>
      <c r="V21" s="165"/>
    </row>
    <row r="22" spans="1:22" s="342" customFormat="1">
      <c r="A22" s="342">
        <v>1</v>
      </c>
      <c r="B22" s="342" t="s">
        <v>1858</v>
      </c>
      <c r="C22" s="342" t="s">
        <v>1603</v>
      </c>
      <c r="D22" s="320" t="s">
        <v>1857</v>
      </c>
      <c r="E22" s="366" t="s">
        <v>1829</v>
      </c>
      <c r="F22" s="366" t="s">
        <v>1756</v>
      </c>
      <c r="G22" s="367" t="str">
        <f t="shared" ref="G22" si="24">A22&amp;"/"&amp;B22</f>
        <v>1/HTMONG</v>
      </c>
      <c r="H22" s="366" t="str">
        <f t="shared" ref="H22" si="25">A22&amp;"/"&amp;B22</f>
        <v>1/HTMONG</v>
      </c>
      <c r="I22" s="368" t="str">
        <f t="shared" si="2"/>
        <v>23</v>
      </c>
      <c r="J22" s="368" t="str">
        <f t="shared" si="3"/>
        <v>09</v>
      </c>
      <c r="K22" s="350">
        <f t="shared" ref="K22" si="26">P22-1</f>
        <v>41905</v>
      </c>
      <c r="L22" s="342" t="s">
        <v>1852</v>
      </c>
      <c r="M22" s="342" t="s">
        <v>1853</v>
      </c>
      <c r="N22" s="368" t="str">
        <f t="shared" si="5"/>
        <v>24</v>
      </c>
      <c r="O22" s="368" t="str">
        <f t="shared" si="6"/>
        <v>09</v>
      </c>
      <c r="P22" s="350">
        <f>P21</f>
        <v>41906</v>
      </c>
      <c r="Q22" s="342" t="s">
        <v>1757</v>
      </c>
      <c r="R22" s="342" t="s">
        <v>873</v>
      </c>
    </row>
    <row r="23" spans="1:22" s="186" customFormat="1">
      <c r="A23" s="186">
        <f>A21+1</f>
        <v>5</v>
      </c>
      <c r="B23" s="186" t="s">
        <v>1820</v>
      </c>
      <c r="C23" s="186" t="s">
        <v>1145</v>
      </c>
      <c r="D23" s="140" t="s">
        <v>1764</v>
      </c>
      <c r="E23" s="141" t="s">
        <v>1829</v>
      </c>
      <c r="F23" s="141" t="s">
        <v>1756</v>
      </c>
      <c r="G23" s="154" t="str">
        <f t="shared" si="21"/>
        <v>5/VLTH3PC</v>
      </c>
      <c r="H23" s="141" t="str">
        <f t="shared" si="22"/>
        <v>5/VLTH3PC</v>
      </c>
      <c r="I23" s="177" t="s">
        <v>1747</v>
      </c>
      <c r="J23" s="177" t="s">
        <v>1747</v>
      </c>
      <c r="K23" s="155">
        <f t="shared" si="23"/>
        <v>-1</v>
      </c>
      <c r="L23" s="186" t="s">
        <v>1741</v>
      </c>
      <c r="M23" s="186" t="s">
        <v>1741</v>
      </c>
      <c r="N23" s="177" t="s">
        <v>1747</v>
      </c>
      <c r="O23" s="177" t="s">
        <v>1747</v>
      </c>
      <c r="P23" s="155"/>
      <c r="Q23" s="186" t="s">
        <v>1757</v>
      </c>
      <c r="R23" s="186" t="s">
        <v>873</v>
      </c>
      <c r="S23" s="165"/>
      <c r="V23" s="165"/>
    </row>
    <row r="24" spans="1:22" s="186" customFormat="1">
      <c r="A24" s="186">
        <f t="shared" si="7"/>
        <v>5</v>
      </c>
      <c r="B24" s="186" t="s">
        <v>1824</v>
      </c>
      <c r="C24" s="186" t="s">
        <v>1146</v>
      </c>
      <c r="D24" s="140" t="s">
        <v>1765</v>
      </c>
      <c r="E24" s="141" t="s">
        <v>1829</v>
      </c>
      <c r="F24" s="141" t="s">
        <v>1756</v>
      </c>
      <c r="G24" s="154" t="str">
        <f t="shared" si="21"/>
        <v>5/LMTH3PC</v>
      </c>
      <c r="H24" s="141" t="str">
        <f t="shared" si="22"/>
        <v>5/LMTH3PC</v>
      </c>
      <c r="I24" s="177" t="s">
        <v>1747</v>
      </c>
      <c r="J24" s="177" t="s">
        <v>1747</v>
      </c>
      <c r="K24" s="155">
        <f t="shared" si="23"/>
        <v>-1</v>
      </c>
      <c r="L24" s="186" t="s">
        <v>1741</v>
      </c>
      <c r="M24" s="186" t="s">
        <v>1741</v>
      </c>
      <c r="N24" s="177" t="s">
        <v>1747</v>
      </c>
      <c r="O24" s="177" t="s">
        <v>1747</v>
      </c>
      <c r="P24" s="155"/>
      <c r="Q24" s="186" t="s">
        <v>1757</v>
      </c>
      <c r="R24" s="186" t="s">
        <v>873</v>
      </c>
      <c r="S24" s="165"/>
      <c r="V24" s="165"/>
    </row>
    <row r="25" spans="1:22" s="186" customFormat="1" ht="31.5">
      <c r="A25" s="186">
        <f t="shared" si="7"/>
        <v>5</v>
      </c>
      <c r="B25" s="342" t="s">
        <v>1827</v>
      </c>
      <c r="C25" s="342" t="s">
        <v>1147</v>
      </c>
      <c r="D25" s="320" t="s">
        <v>1793</v>
      </c>
      <c r="E25" s="141" t="s">
        <v>1829</v>
      </c>
      <c r="F25" s="141" t="s">
        <v>1756</v>
      </c>
      <c r="G25" s="154" t="str">
        <f t="shared" si="21"/>
        <v>5/XAYTH3PC</v>
      </c>
      <c r="H25" s="141" t="str">
        <f t="shared" si="22"/>
        <v>5/XAYTH3PC</v>
      </c>
      <c r="I25" s="177" t="s">
        <v>1747</v>
      </c>
      <c r="J25" s="177" t="s">
        <v>1747</v>
      </c>
      <c r="K25" s="155">
        <f t="shared" si="23"/>
        <v>-1</v>
      </c>
      <c r="L25" s="186" t="s">
        <v>1741</v>
      </c>
      <c r="M25" s="186" t="s">
        <v>1741</v>
      </c>
      <c r="N25" s="177" t="s">
        <v>1747</v>
      </c>
      <c r="O25" s="177" t="s">
        <v>1747</v>
      </c>
      <c r="P25" s="155"/>
      <c r="Q25" s="186" t="s">
        <v>1757</v>
      </c>
      <c r="R25" s="186" t="s">
        <v>873</v>
      </c>
      <c r="S25" s="165"/>
      <c r="V25" s="165"/>
    </row>
    <row r="26" spans="1:22" s="186" customFormat="1">
      <c r="A26" s="186">
        <f>A25+1</f>
        <v>6</v>
      </c>
      <c r="B26" s="186" t="s">
        <v>1820</v>
      </c>
      <c r="C26" s="186" t="s">
        <v>1499</v>
      </c>
      <c r="D26" s="140" t="s">
        <v>1766</v>
      </c>
      <c r="E26" s="141" t="s">
        <v>1829</v>
      </c>
      <c r="F26" s="141" t="s">
        <v>1756</v>
      </c>
      <c r="G26" s="154" t="str">
        <f t="shared" si="21"/>
        <v>6/VLTH3PC</v>
      </c>
      <c r="H26" s="141" t="str">
        <f t="shared" si="22"/>
        <v>6/VLTH3PC</v>
      </c>
      <c r="I26" s="177" t="s">
        <v>1747</v>
      </c>
      <c r="J26" s="177" t="s">
        <v>1747</v>
      </c>
      <c r="K26" s="155">
        <f t="shared" si="23"/>
        <v>-1</v>
      </c>
      <c r="L26" s="186" t="s">
        <v>1741</v>
      </c>
      <c r="M26" s="186" t="s">
        <v>1741</v>
      </c>
      <c r="N26" s="177" t="s">
        <v>1747</v>
      </c>
      <c r="O26" s="177" t="s">
        <v>1747</v>
      </c>
      <c r="P26" s="155"/>
      <c r="Q26" s="186" t="s">
        <v>1757</v>
      </c>
      <c r="R26" s="186" t="s">
        <v>873</v>
      </c>
      <c r="S26" s="165"/>
      <c r="V26" s="165"/>
    </row>
    <row r="27" spans="1:22" s="186" customFormat="1">
      <c r="A27" s="186">
        <f t="shared" si="7"/>
        <v>6</v>
      </c>
      <c r="B27" s="186" t="s">
        <v>1821</v>
      </c>
      <c r="C27" s="186" t="s">
        <v>1501</v>
      </c>
      <c r="D27" s="140" t="s">
        <v>1794</v>
      </c>
      <c r="E27" s="141" t="s">
        <v>1829</v>
      </c>
      <c r="F27" s="141" t="s">
        <v>1756</v>
      </c>
      <c r="G27" s="154" t="str">
        <f t="shared" si="21"/>
        <v>6/VKTH3PC</v>
      </c>
      <c r="H27" s="141" t="str">
        <f t="shared" si="22"/>
        <v>6/VKTH3PC</v>
      </c>
      <c r="I27" s="177" t="s">
        <v>1747</v>
      </c>
      <c r="J27" s="177" t="s">
        <v>1747</v>
      </c>
      <c r="K27" s="155">
        <f t="shared" si="23"/>
        <v>-1</v>
      </c>
      <c r="L27" s="186" t="s">
        <v>1741</v>
      </c>
      <c r="M27" s="186" t="s">
        <v>1741</v>
      </c>
      <c r="N27" s="177" t="s">
        <v>1747</v>
      </c>
      <c r="O27" s="177" t="s">
        <v>1747</v>
      </c>
      <c r="P27" s="155"/>
      <c r="Q27" s="186" t="s">
        <v>1757</v>
      </c>
      <c r="R27" s="186" t="s">
        <v>873</v>
      </c>
      <c r="S27" s="165"/>
      <c r="V27" s="165"/>
    </row>
    <row r="28" spans="1:22" s="186" customFormat="1">
      <c r="A28" s="186">
        <f t="shared" si="7"/>
        <v>6</v>
      </c>
      <c r="B28" s="186" t="s">
        <v>1828</v>
      </c>
      <c r="C28" s="186" t="s">
        <v>1500</v>
      </c>
      <c r="D28" s="140" t="s">
        <v>1795</v>
      </c>
      <c r="E28" s="141" t="s">
        <v>1829</v>
      </c>
      <c r="F28" s="141" t="s">
        <v>1756</v>
      </c>
      <c r="G28" s="154" t="str">
        <f t="shared" si="21"/>
        <v>6/CTTH3PC</v>
      </c>
      <c r="H28" s="141" t="str">
        <f t="shared" si="22"/>
        <v>6/CTTH3PC</v>
      </c>
      <c r="I28" s="177" t="s">
        <v>1747</v>
      </c>
      <c r="J28" s="177" t="s">
        <v>1747</v>
      </c>
      <c r="K28" s="155">
        <f t="shared" si="23"/>
        <v>-1</v>
      </c>
      <c r="L28" s="186" t="s">
        <v>1741</v>
      </c>
      <c r="M28" s="186" t="s">
        <v>1741</v>
      </c>
      <c r="N28" s="177" t="s">
        <v>1747</v>
      </c>
      <c r="O28" s="177" t="s">
        <v>1747</v>
      </c>
      <c r="P28" s="155"/>
      <c r="Q28" s="186" t="s">
        <v>1757</v>
      </c>
      <c r="R28" s="186" t="s">
        <v>873</v>
      </c>
      <c r="S28" s="165"/>
      <c r="V28" s="165"/>
    </row>
    <row r="29" spans="1:22" s="186" customFormat="1">
      <c r="A29" s="186">
        <f t="shared" si="7"/>
        <v>6</v>
      </c>
      <c r="B29" s="186" t="s">
        <v>1822</v>
      </c>
      <c r="C29" s="186" t="s">
        <v>1502</v>
      </c>
      <c r="D29" s="140" t="s">
        <v>1796</v>
      </c>
      <c r="E29" s="141" t="s">
        <v>1829</v>
      </c>
      <c r="F29" s="141" t="s">
        <v>1756</v>
      </c>
      <c r="G29" s="154" t="str">
        <f t="shared" si="21"/>
        <v>6/CBTH3PC</v>
      </c>
      <c r="H29" s="141" t="str">
        <f t="shared" si="22"/>
        <v>6/CBTH3PC</v>
      </c>
      <c r="I29" s="177" t="s">
        <v>1747</v>
      </c>
      <c r="J29" s="177" t="s">
        <v>1747</v>
      </c>
      <c r="K29" s="155">
        <f t="shared" si="23"/>
        <v>-1</v>
      </c>
      <c r="L29" s="186" t="s">
        <v>1741</v>
      </c>
      <c r="M29" s="186" t="s">
        <v>1741</v>
      </c>
      <c r="N29" s="177" t="s">
        <v>1747</v>
      </c>
      <c r="O29" s="177" t="s">
        <v>1747</v>
      </c>
      <c r="P29" s="155"/>
      <c r="Q29" s="186" t="s">
        <v>1757</v>
      </c>
      <c r="R29" s="186" t="s">
        <v>873</v>
      </c>
      <c r="S29" s="165"/>
      <c r="V29" s="165"/>
    </row>
    <row r="30" spans="1:22" s="186" customFormat="1">
      <c r="A30" s="186">
        <f t="shared" si="7"/>
        <v>6</v>
      </c>
      <c r="B30" s="186" t="s">
        <v>1823</v>
      </c>
      <c r="C30" s="186" t="s">
        <v>1745</v>
      </c>
      <c r="D30" s="140" t="s">
        <v>1797</v>
      </c>
      <c r="E30" s="141" t="s">
        <v>1829</v>
      </c>
      <c r="F30" s="141" t="s">
        <v>1756</v>
      </c>
      <c r="G30" s="154" t="str">
        <f t="shared" si="21"/>
        <v>6/GSTH3PC</v>
      </c>
      <c r="H30" s="141" t="str">
        <f t="shared" si="22"/>
        <v>6/GSTH3PC</v>
      </c>
      <c r="I30" s="177" t="s">
        <v>1747</v>
      </c>
      <c r="J30" s="177" t="s">
        <v>1747</v>
      </c>
      <c r="K30" s="155">
        <f t="shared" si="23"/>
        <v>-1</v>
      </c>
      <c r="L30" s="186" t="s">
        <v>1741</v>
      </c>
      <c r="M30" s="186" t="s">
        <v>1741</v>
      </c>
      <c r="N30" s="177" t="s">
        <v>1747</v>
      </c>
      <c r="O30" s="177" t="s">
        <v>1747</v>
      </c>
      <c r="P30" s="155"/>
      <c r="Q30" s="186" t="s">
        <v>1757</v>
      </c>
      <c r="R30" s="186" t="s">
        <v>873</v>
      </c>
      <c r="S30" s="165"/>
      <c r="V30" s="165"/>
    </row>
    <row r="31" spans="1:22" s="186" customFormat="1">
      <c r="A31" s="186">
        <f t="shared" si="7"/>
        <v>6</v>
      </c>
      <c r="B31" s="186" t="s">
        <v>1824</v>
      </c>
      <c r="C31" s="186" t="s">
        <v>1503</v>
      </c>
      <c r="D31" s="140" t="s">
        <v>1767</v>
      </c>
      <c r="E31" s="141" t="s">
        <v>1829</v>
      </c>
      <c r="F31" s="141" t="s">
        <v>1756</v>
      </c>
      <c r="G31" s="154" t="str">
        <f t="shared" si="21"/>
        <v>6/LMTH3PC</v>
      </c>
      <c r="H31" s="141" t="str">
        <f t="shared" si="22"/>
        <v>6/LMTH3PC</v>
      </c>
      <c r="I31" s="177" t="s">
        <v>1747</v>
      </c>
      <c r="J31" s="177" t="s">
        <v>1747</v>
      </c>
      <c r="K31" s="155">
        <f t="shared" si="23"/>
        <v>-1</v>
      </c>
      <c r="L31" s="186" t="s">
        <v>1741</v>
      </c>
      <c r="M31" s="186" t="s">
        <v>1741</v>
      </c>
      <c r="N31" s="177" t="s">
        <v>1747</v>
      </c>
      <c r="O31" s="177" t="s">
        <v>1747</v>
      </c>
      <c r="P31" s="155"/>
      <c r="Q31" s="186" t="s">
        <v>1757</v>
      </c>
      <c r="R31" s="186" t="s">
        <v>873</v>
      </c>
      <c r="S31" s="165"/>
      <c r="V31" s="165"/>
    </row>
    <row r="32" spans="1:22" s="186" customFormat="1">
      <c r="A32" s="186">
        <f t="shared" si="7"/>
        <v>6</v>
      </c>
      <c r="B32" s="342" t="s">
        <v>1826</v>
      </c>
      <c r="C32" s="342" t="s">
        <v>1605</v>
      </c>
      <c r="D32" s="320" t="s">
        <v>1768</v>
      </c>
      <c r="E32" s="141" t="s">
        <v>1829</v>
      </c>
      <c r="F32" s="141" t="s">
        <v>1756</v>
      </c>
      <c r="G32" s="154" t="str">
        <f t="shared" si="21"/>
        <v>6/BTTH3PC</v>
      </c>
      <c r="H32" s="141" t="str">
        <f t="shared" si="22"/>
        <v>6/BTTH3PC</v>
      </c>
      <c r="I32" s="177" t="s">
        <v>1747</v>
      </c>
      <c r="J32" s="177" t="s">
        <v>1747</v>
      </c>
      <c r="K32" s="155">
        <f t="shared" si="23"/>
        <v>-1</v>
      </c>
      <c r="L32" s="186" t="s">
        <v>1741</v>
      </c>
      <c r="M32" s="186" t="s">
        <v>1741</v>
      </c>
      <c r="N32" s="177" t="s">
        <v>1747</v>
      </c>
      <c r="O32" s="177" t="s">
        <v>1747</v>
      </c>
      <c r="P32" s="155"/>
      <c r="Q32" s="186" t="s">
        <v>1757</v>
      </c>
      <c r="R32" s="186" t="s">
        <v>873</v>
      </c>
      <c r="S32" s="165"/>
      <c r="V32" s="165"/>
    </row>
    <row r="33" spans="1:22" s="186" customFormat="1">
      <c r="A33" s="186">
        <f>A32+1</f>
        <v>7</v>
      </c>
      <c r="B33" s="186" t="s">
        <v>1820</v>
      </c>
      <c r="C33" s="186" t="s">
        <v>1472</v>
      </c>
      <c r="D33" s="140" t="s">
        <v>1899</v>
      </c>
      <c r="E33" s="141" t="s">
        <v>1829</v>
      </c>
      <c r="F33" s="141" t="s">
        <v>1756</v>
      </c>
      <c r="G33" s="154" t="str">
        <f t="shared" si="21"/>
        <v>7/VLTH3PC</v>
      </c>
      <c r="H33" s="141" t="str">
        <f t="shared" si="22"/>
        <v>7/VLTH3PC</v>
      </c>
      <c r="I33" s="177" t="s">
        <v>1747</v>
      </c>
      <c r="J33" s="177" t="s">
        <v>1747</v>
      </c>
      <c r="K33" s="155">
        <f t="shared" si="23"/>
        <v>-1</v>
      </c>
      <c r="L33" s="186" t="s">
        <v>1741</v>
      </c>
      <c r="M33" s="186" t="s">
        <v>1741</v>
      </c>
      <c r="N33" s="177" t="s">
        <v>1747</v>
      </c>
      <c r="O33" s="177" t="s">
        <v>1747</v>
      </c>
      <c r="P33" s="155"/>
      <c r="Q33" s="186" t="s">
        <v>1757</v>
      </c>
      <c r="R33" s="186" t="s">
        <v>873</v>
      </c>
      <c r="S33" s="165"/>
      <c r="V33" s="165"/>
    </row>
    <row r="34" spans="1:22" s="186" customFormat="1">
      <c r="A34" s="186">
        <f t="shared" si="7"/>
        <v>7</v>
      </c>
      <c r="B34" s="186" t="s">
        <v>1824</v>
      </c>
      <c r="C34" s="186" t="s">
        <v>1473</v>
      </c>
      <c r="D34" s="140" t="s">
        <v>1900</v>
      </c>
      <c r="E34" s="141" t="s">
        <v>1829</v>
      </c>
      <c r="F34" s="141" t="s">
        <v>1756</v>
      </c>
      <c r="G34" s="154" t="str">
        <f t="shared" si="21"/>
        <v>7/LMTH3PC</v>
      </c>
      <c r="H34" s="141" t="str">
        <f t="shared" si="22"/>
        <v>7/LMTH3PC</v>
      </c>
      <c r="I34" s="177" t="s">
        <v>1747</v>
      </c>
      <c r="J34" s="177" t="s">
        <v>1747</v>
      </c>
      <c r="K34" s="155">
        <f t="shared" si="23"/>
        <v>-1</v>
      </c>
      <c r="L34" s="186" t="s">
        <v>1741</v>
      </c>
      <c r="M34" s="186" t="s">
        <v>1741</v>
      </c>
      <c r="N34" s="177" t="s">
        <v>1747</v>
      </c>
      <c r="O34" s="177" t="s">
        <v>1747</v>
      </c>
      <c r="P34" s="155"/>
      <c r="Q34" s="186" t="s">
        <v>1757</v>
      </c>
      <c r="R34" s="186" t="s">
        <v>873</v>
      </c>
      <c r="S34" s="165"/>
      <c r="V34" s="165"/>
    </row>
    <row r="35" spans="1:22" s="186" customFormat="1" ht="31.5">
      <c r="A35" s="186">
        <f t="shared" si="7"/>
        <v>7</v>
      </c>
      <c r="B35" s="342" t="s">
        <v>1827</v>
      </c>
      <c r="C35" s="342" t="s">
        <v>1474</v>
      </c>
      <c r="D35" s="320" t="s">
        <v>1901</v>
      </c>
      <c r="E35" s="141" t="s">
        <v>1829</v>
      </c>
      <c r="F35" s="141" t="s">
        <v>1756</v>
      </c>
      <c r="G35" s="154" t="str">
        <f t="shared" si="21"/>
        <v>7/XAYTH3PC</v>
      </c>
      <c r="H35" s="141" t="str">
        <f t="shared" si="22"/>
        <v>7/XAYTH3PC</v>
      </c>
      <c r="I35" s="177" t="s">
        <v>1747</v>
      </c>
      <c r="J35" s="177" t="s">
        <v>1747</v>
      </c>
      <c r="K35" s="155">
        <f t="shared" si="23"/>
        <v>-1</v>
      </c>
      <c r="L35" s="186" t="s">
        <v>1741</v>
      </c>
      <c r="M35" s="186" t="s">
        <v>1741</v>
      </c>
      <c r="N35" s="177" t="s">
        <v>1747</v>
      </c>
      <c r="O35" s="177" t="s">
        <v>1747</v>
      </c>
      <c r="P35" s="155"/>
      <c r="Q35" s="186" t="s">
        <v>1757</v>
      </c>
      <c r="R35" s="186" t="s">
        <v>873</v>
      </c>
      <c r="S35" s="165"/>
      <c r="V35" s="165"/>
    </row>
    <row r="36" spans="1:22" s="186" customFormat="1">
      <c r="A36" s="186">
        <f>A35+1</f>
        <v>8</v>
      </c>
      <c r="B36" s="186" t="s">
        <v>1820</v>
      </c>
      <c r="C36" s="186" t="s">
        <v>1504</v>
      </c>
      <c r="D36" s="140" t="s">
        <v>1798</v>
      </c>
      <c r="E36" s="141" t="s">
        <v>1829</v>
      </c>
      <c r="F36" s="141" t="s">
        <v>1756</v>
      </c>
      <c r="G36" s="154" t="str">
        <f t="shared" si="21"/>
        <v>8/VLTH3PC</v>
      </c>
      <c r="H36" s="141" t="str">
        <f t="shared" si="22"/>
        <v>8/VLTH3PC</v>
      </c>
      <c r="I36" s="177" t="s">
        <v>1747</v>
      </c>
      <c r="J36" s="177" t="s">
        <v>1747</v>
      </c>
      <c r="K36" s="155">
        <f t="shared" si="23"/>
        <v>-1</v>
      </c>
      <c r="L36" s="186" t="s">
        <v>1741</v>
      </c>
      <c r="M36" s="186" t="s">
        <v>1741</v>
      </c>
      <c r="N36" s="177" t="s">
        <v>1747</v>
      </c>
      <c r="O36" s="177" t="s">
        <v>1747</v>
      </c>
      <c r="P36" s="155"/>
      <c r="Q36" s="186" t="s">
        <v>1757</v>
      </c>
      <c r="R36" s="186" t="s">
        <v>873</v>
      </c>
      <c r="S36" s="165"/>
      <c r="V36" s="165"/>
    </row>
    <row r="37" spans="1:22" s="186" customFormat="1" ht="31.5">
      <c r="A37" s="186">
        <f t="shared" si="7"/>
        <v>8</v>
      </c>
      <c r="B37" s="186" t="s">
        <v>1821</v>
      </c>
      <c r="C37" s="186" t="s">
        <v>1505</v>
      </c>
      <c r="D37" s="140" t="s">
        <v>1799</v>
      </c>
      <c r="E37" s="141" t="s">
        <v>1829</v>
      </c>
      <c r="F37" s="141" t="s">
        <v>1756</v>
      </c>
      <c r="G37" s="154" t="str">
        <f t="shared" si="0"/>
        <v>8/VKTH3PC</v>
      </c>
      <c r="H37" s="141" t="str">
        <f t="shared" si="1"/>
        <v>8/VKTH3PC</v>
      </c>
      <c r="I37" s="177" t="s">
        <v>1747</v>
      </c>
      <c r="J37" s="177" t="s">
        <v>1747</v>
      </c>
      <c r="K37" s="155">
        <f t="shared" si="4"/>
        <v>-1</v>
      </c>
      <c r="L37" s="186" t="s">
        <v>1741</v>
      </c>
      <c r="M37" s="186" t="s">
        <v>1741</v>
      </c>
      <c r="N37" s="177" t="s">
        <v>1747</v>
      </c>
      <c r="O37" s="177" t="s">
        <v>1747</v>
      </c>
      <c r="P37" s="155"/>
      <c r="Q37" s="186" t="s">
        <v>1757</v>
      </c>
      <c r="R37" s="186" t="s">
        <v>873</v>
      </c>
      <c r="S37" s="165"/>
      <c r="V37" s="165"/>
    </row>
    <row r="38" spans="1:22" s="186" customFormat="1">
      <c r="A38" s="186">
        <f t="shared" si="7"/>
        <v>8</v>
      </c>
      <c r="B38" s="186" t="s">
        <v>1828</v>
      </c>
      <c r="C38" s="186" t="s">
        <v>1506</v>
      </c>
      <c r="D38" s="140" t="s">
        <v>1800</v>
      </c>
      <c r="E38" s="141" t="s">
        <v>1829</v>
      </c>
      <c r="F38" s="141" t="s">
        <v>1756</v>
      </c>
      <c r="G38" s="154" t="str">
        <f t="shared" si="0"/>
        <v>8/CTTH3PC</v>
      </c>
      <c r="H38" s="141" t="str">
        <f t="shared" si="1"/>
        <v>8/CTTH3PC</v>
      </c>
      <c r="I38" s="177" t="s">
        <v>1747</v>
      </c>
      <c r="J38" s="177" t="s">
        <v>1747</v>
      </c>
      <c r="K38" s="155">
        <f t="shared" si="4"/>
        <v>-1</v>
      </c>
      <c r="L38" s="186" t="s">
        <v>1741</v>
      </c>
      <c r="M38" s="186" t="s">
        <v>1741</v>
      </c>
      <c r="N38" s="177" t="s">
        <v>1747</v>
      </c>
      <c r="O38" s="177" t="s">
        <v>1747</v>
      </c>
      <c r="P38" s="155"/>
      <c r="Q38" s="186" t="s">
        <v>1639</v>
      </c>
      <c r="R38" s="186" t="s">
        <v>873</v>
      </c>
      <c r="S38" s="165"/>
      <c r="V38" s="165"/>
    </row>
    <row r="39" spans="1:22" s="186" customFormat="1" ht="31.5">
      <c r="A39" s="186">
        <f t="shared" si="7"/>
        <v>8</v>
      </c>
      <c r="B39" s="186" t="s">
        <v>1822</v>
      </c>
      <c r="C39" s="186" t="s">
        <v>1507</v>
      </c>
      <c r="D39" s="140" t="s">
        <v>1801</v>
      </c>
      <c r="E39" s="141" t="s">
        <v>1829</v>
      </c>
      <c r="F39" s="141" t="s">
        <v>1756</v>
      </c>
      <c r="G39" s="154" t="str">
        <f t="shared" si="0"/>
        <v>8/CBTH3PC</v>
      </c>
      <c r="H39" s="141" t="str">
        <f t="shared" si="1"/>
        <v>8/CBTH3PC</v>
      </c>
      <c r="I39" s="177" t="s">
        <v>1747</v>
      </c>
      <c r="J39" s="177" t="s">
        <v>1747</v>
      </c>
      <c r="K39" s="155">
        <f t="shared" si="4"/>
        <v>-1</v>
      </c>
      <c r="L39" s="186" t="s">
        <v>1741</v>
      </c>
      <c r="M39" s="186" t="s">
        <v>1741</v>
      </c>
      <c r="N39" s="177" t="s">
        <v>1747</v>
      </c>
      <c r="O39" s="177" t="s">
        <v>1747</v>
      </c>
      <c r="P39" s="155"/>
      <c r="Q39" s="186" t="s">
        <v>1639</v>
      </c>
      <c r="R39" s="186" t="s">
        <v>873</v>
      </c>
      <c r="S39" s="165"/>
      <c r="V39" s="165"/>
    </row>
    <row r="40" spans="1:22" s="186" customFormat="1" ht="31.5">
      <c r="A40" s="186">
        <f t="shared" si="7"/>
        <v>8</v>
      </c>
      <c r="B40" s="186" t="s">
        <v>1823</v>
      </c>
      <c r="C40" s="186" t="s">
        <v>1746</v>
      </c>
      <c r="D40" s="140" t="s">
        <v>1802</v>
      </c>
      <c r="E40" s="141" t="s">
        <v>1829</v>
      </c>
      <c r="F40" s="141" t="s">
        <v>1756</v>
      </c>
      <c r="G40" s="154" t="str">
        <f t="shared" ref="G40:G50" si="27">A40&amp;"/"&amp;B40</f>
        <v>8/GSTH3PC</v>
      </c>
      <c r="H40" s="141" t="str">
        <f t="shared" ref="H40:H50" si="28">A40&amp;"/"&amp;B40</f>
        <v>8/GSTH3PC</v>
      </c>
      <c r="I40" s="177" t="s">
        <v>1747</v>
      </c>
      <c r="J40" s="177" t="s">
        <v>1747</v>
      </c>
      <c r="K40" s="155">
        <f t="shared" si="4"/>
        <v>-1</v>
      </c>
      <c r="L40" s="186" t="s">
        <v>1741</v>
      </c>
      <c r="M40" s="186" t="s">
        <v>1741</v>
      </c>
      <c r="N40" s="177" t="s">
        <v>1747</v>
      </c>
      <c r="O40" s="177" t="s">
        <v>1747</v>
      </c>
      <c r="P40" s="155"/>
      <c r="Q40" s="186" t="s">
        <v>1639</v>
      </c>
      <c r="R40" s="186" t="s">
        <v>873</v>
      </c>
      <c r="S40" s="165"/>
      <c r="V40" s="165"/>
    </row>
    <row r="41" spans="1:22" s="186" customFormat="1">
      <c r="A41" s="186">
        <f t="shared" si="7"/>
        <v>8</v>
      </c>
      <c r="B41" s="186" t="s">
        <v>1824</v>
      </c>
      <c r="C41" s="186" t="s">
        <v>1508</v>
      </c>
      <c r="D41" s="140" t="s">
        <v>1803</v>
      </c>
      <c r="E41" s="141" t="s">
        <v>1829</v>
      </c>
      <c r="F41" s="141" t="s">
        <v>1756</v>
      </c>
      <c r="G41" s="154" t="str">
        <f t="shared" si="27"/>
        <v>8/LMTH3PC</v>
      </c>
      <c r="H41" s="141" t="str">
        <f t="shared" si="28"/>
        <v>8/LMTH3PC</v>
      </c>
      <c r="I41" s="177" t="s">
        <v>1747</v>
      </c>
      <c r="J41" s="177" t="s">
        <v>1747</v>
      </c>
      <c r="K41" s="155">
        <f t="shared" si="4"/>
        <v>-1</v>
      </c>
      <c r="L41" s="186" t="s">
        <v>1741</v>
      </c>
      <c r="M41" s="186" t="s">
        <v>1741</v>
      </c>
      <c r="N41" s="177" t="s">
        <v>1747</v>
      </c>
      <c r="O41" s="177" t="s">
        <v>1747</v>
      </c>
      <c r="P41" s="155"/>
      <c r="Q41" s="186" t="s">
        <v>1639</v>
      </c>
      <c r="R41" s="186" t="s">
        <v>873</v>
      </c>
      <c r="S41" s="165"/>
      <c r="V41" s="165"/>
    </row>
    <row r="42" spans="1:22" s="186" customFormat="1">
      <c r="A42" s="186">
        <f t="shared" si="7"/>
        <v>8</v>
      </c>
      <c r="B42" s="186" t="s">
        <v>1825</v>
      </c>
      <c r="C42" s="186" t="s">
        <v>1526</v>
      </c>
      <c r="D42" s="140" t="s">
        <v>1804</v>
      </c>
      <c r="E42" s="141" t="s">
        <v>1829</v>
      </c>
      <c r="F42" s="141" t="s">
        <v>1756</v>
      </c>
      <c r="G42" s="154" t="str">
        <f t="shared" ref="G42" si="29">A42&amp;"/"&amp;B42</f>
        <v>8/TVKTH3PC</v>
      </c>
      <c r="H42" s="141" t="str">
        <f t="shared" ref="H42" si="30">A42&amp;"/"&amp;B42</f>
        <v>8/TVKTH3PC</v>
      </c>
      <c r="I42" s="177" t="s">
        <v>1747</v>
      </c>
      <c r="J42" s="177" t="s">
        <v>1747</v>
      </c>
      <c r="K42" s="155">
        <f t="shared" ref="K42" si="31">P42-1</f>
        <v>-1</v>
      </c>
      <c r="L42" s="186" t="s">
        <v>1741</v>
      </c>
      <c r="M42" s="186" t="s">
        <v>1741</v>
      </c>
      <c r="N42" s="177" t="s">
        <v>1747</v>
      </c>
      <c r="O42" s="177" t="s">
        <v>1747</v>
      </c>
      <c r="P42" s="155"/>
      <c r="Q42" s="186" t="s">
        <v>1639</v>
      </c>
      <c r="R42" s="186" t="s">
        <v>873</v>
      </c>
      <c r="S42" s="165"/>
      <c r="V42" s="165"/>
    </row>
    <row r="43" spans="1:22" s="186" customFormat="1">
      <c r="A43" s="186">
        <f t="shared" si="7"/>
        <v>8</v>
      </c>
      <c r="B43" s="342" t="s">
        <v>1826</v>
      </c>
      <c r="C43" s="342" t="s">
        <v>1606</v>
      </c>
      <c r="D43" s="320" t="s">
        <v>1805</v>
      </c>
      <c r="E43" s="141" t="s">
        <v>1829</v>
      </c>
      <c r="F43" s="141" t="s">
        <v>1756</v>
      </c>
      <c r="G43" s="154" t="str">
        <f t="shared" ref="G43" si="32">A43&amp;"/"&amp;B43</f>
        <v>8/BTTH3PC</v>
      </c>
      <c r="H43" s="141" t="str">
        <f t="shared" ref="H43" si="33">A43&amp;"/"&amp;B43</f>
        <v>8/BTTH3PC</v>
      </c>
      <c r="I43" s="177" t="s">
        <v>1747</v>
      </c>
      <c r="J43" s="177" t="s">
        <v>1747</v>
      </c>
      <c r="K43" s="155">
        <f t="shared" ref="K43" si="34">P43-1</f>
        <v>-1</v>
      </c>
      <c r="L43" s="186" t="s">
        <v>1741</v>
      </c>
      <c r="M43" s="186" t="s">
        <v>1741</v>
      </c>
      <c r="N43" s="177" t="s">
        <v>1747</v>
      </c>
      <c r="O43" s="177" t="s">
        <v>1747</v>
      </c>
      <c r="P43" s="155"/>
      <c r="Q43" s="186" t="s">
        <v>1639</v>
      </c>
      <c r="R43" s="186" t="s">
        <v>873</v>
      </c>
      <c r="S43" s="165"/>
      <c r="V43" s="165"/>
    </row>
    <row r="44" spans="1:22" s="186" customFormat="1">
      <c r="A44" s="186">
        <f>A43+1</f>
        <v>9</v>
      </c>
      <c r="B44" s="186" t="s">
        <v>1820</v>
      </c>
      <c r="C44" s="186" t="s">
        <v>1475</v>
      </c>
      <c r="D44" s="140" t="s">
        <v>1806</v>
      </c>
      <c r="E44" s="141" t="s">
        <v>1829</v>
      </c>
      <c r="F44" s="141" t="s">
        <v>1756</v>
      </c>
      <c r="G44" s="154" t="str">
        <f t="shared" ref="G44" si="35">A44&amp;"/"&amp;B44</f>
        <v>9/VLTH3PC</v>
      </c>
      <c r="H44" s="141" t="str">
        <f t="shared" ref="H44" si="36">A44&amp;"/"&amp;B44</f>
        <v>9/VLTH3PC</v>
      </c>
      <c r="I44" s="177" t="s">
        <v>1747</v>
      </c>
      <c r="J44" s="177" t="s">
        <v>1747</v>
      </c>
      <c r="K44" s="155">
        <f t="shared" ref="K44" si="37">P44-1</f>
        <v>-1</v>
      </c>
      <c r="L44" s="186" t="s">
        <v>1741</v>
      </c>
      <c r="M44" s="186" t="s">
        <v>1741</v>
      </c>
      <c r="N44" s="177" t="s">
        <v>1747</v>
      </c>
      <c r="O44" s="177" t="s">
        <v>1747</v>
      </c>
      <c r="P44" s="155"/>
      <c r="Q44" s="186" t="s">
        <v>1639</v>
      </c>
      <c r="R44" s="186" t="s">
        <v>873</v>
      </c>
      <c r="S44" s="165"/>
      <c r="V44" s="165"/>
    </row>
    <row r="45" spans="1:22" s="186" customFormat="1">
      <c r="A45" s="186">
        <f t="shared" si="7"/>
        <v>9</v>
      </c>
      <c r="B45" s="186" t="s">
        <v>1824</v>
      </c>
      <c r="C45" s="186" t="s">
        <v>1476</v>
      </c>
      <c r="D45" s="140" t="s">
        <v>1807</v>
      </c>
      <c r="E45" s="141" t="s">
        <v>1829</v>
      </c>
      <c r="F45" s="141" t="s">
        <v>1756</v>
      </c>
      <c r="G45" s="154" t="str">
        <f t="shared" si="27"/>
        <v>9/LMTH3PC</v>
      </c>
      <c r="H45" s="141" t="str">
        <f t="shared" si="28"/>
        <v>9/LMTH3PC</v>
      </c>
      <c r="I45" s="177" t="s">
        <v>1747</v>
      </c>
      <c r="J45" s="177" t="s">
        <v>1747</v>
      </c>
      <c r="K45" s="155">
        <f t="shared" si="4"/>
        <v>-1</v>
      </c>
      <c r="L45" s="186" t="s">
        <v>1741</v>
      </c>
      <c r="M45" s="186" t="s">
        <v>1741</v>
      </c>
      <c r="N45" s="177" t="s">
        <v>1747</v>
      </c>
      <c r="O45" s="177" t="s">
        <v>1747</v>
      </c>
      <c r="P45" s="155"/>
      <c r="Q45" s="186" t="s">
        <v>1639</v>
      </c>
      <c r="R45" s="186" t="s">
        <v>873</v>
      </c>
      <c r="S45" s="165"/>
      <c r="V45" s="165"/>
    </row>
    <row r="46" spans="1:22" s="186" customFormat="1">
      <c r="A46" s="186">
        <f t="shared" si="7"/>
        <v>9</v>
      </c>
      <c r="B46" s="342" t="s">
        <v>1827</v>
      </c>
      <c r="C46" s="342" t="s">
        <v>1477</v>
      </c>
      <c r="D46" s="320" t="s">
        <v>1769</v>
      </c>
      <c r="E46" s="141" t="s">
        <v>1829</v>
      </c>
      <c r="F46" s="141" t="s">
        <v>1756</v>
      </c>
      <c r="G46" s="154" t="str">
        <f t="shared" si="27"/>
        <v>9/XAYTH3PC</v>
      </c>
      <c r="H46" s="141" t="str">
        <f t="shared" si="28"/>
        <v>9/XAYTH3PC</v>
      </c>
      <c r="I46" s="177" t="s">
        <v>1747</v>
      </c>
      <c r="J46" s="177" t="s">
        <v>1747</v>
      </c>
      <c r="K46" s="155">
        <f t="shared" si="4"/>
        <v>-1</v>
      </c>
      <c r="L46" s="186" t="s">
        <v>1741</v>
      </c>
      <c r="M46" s="186" t="s">
        <v>1741</v>
      </c>
      <c r="N46" s="177" t="s">
        <v>1747</v>
      </c>
      <c r="O46" s="177" t="s">
        <v>1747</v>
      </c>
      <c r="P46" s="155"/>
      <c r="Q46" s="186" t="s">
        <v>1639</v>
      </c>
      <c r="R46" s="186" t="s">
        <v>873</v>
      </c>
      <c r="S46" s="165"/>
      <c r="V46" s="165"/>
    </row>
    <row r="47" spans="1:22" s="186" customFormat="1">
      <c r="A47" s="186">
        <f>A46+1</f>
        <v>10</v>
      </c>
      <c r="B47" s="186" t="s">
        <v>1820</v>
      </c>
      <c r="C47" s="186" t="s">
        <v>1509</v>
      </c>
      <c r="D47" s="140" t="s">
        <v>1770</v>
      </c>
      <c r="E47" s="141" t="s">
        <v>1829</v>
      </c>
      <c r="F47" s="141" t="s">
        <v>1756</v>
      </c>
      <c r="G47" s="154" t="str">
        <f t="shared" si="27"/>
        <v>10/VLTH3PC</v>
      </c>
      <c r="H47" s="141" t="str">
        <f t="shared" si="28"/>
        <v>10/VLTH3PC</v>
      </c>
      <c r="I47" s="177" t="s">
        <v>1747</v>
      </c>
      <c r="J47" s="177" t="s">
        <v>1747</v>
      </c>
      <c r="K47" s="155">
        <f t="shared" si="4"/>
        <v>-1</v>
      </c>
      <c r="L47" s="186" t="s">
        <v>1741</v>
      </c>
      <c r="M47" s="186" t="s">
        <v>1741</v>
      </c>
      <c r="N47" s="177" t="s">
        <v>1747</v>
      </c>
      <c r="O47" s="177" t="s">
        <v>1747</v>
      </c>
      <c r="P47" s="155"/>
      <c r="Q47" s="186" t="s">
        <v>1639</v>
      </c>
      <c r="R47" s="186" t="s">
        <v>873</v>
      </c>
      <c r="S47" s="165"/>
      <c r="V47" s="165"/>
    </row>
    <row r="48" spans="1:22" s="186" customFormat="1">
      <c r="A48" s="186">
        <f t="shared" si="7"/>
        <v>10</v>
      </c>
      <c r="B48" s="186" t="s">
        <v>1821</v>
      </c>
      <c r="C48" s="186" t="s">
        <v>1510</v>
      </c>
      <c r="D48" s="140" t="s">
        <v>1808</v>
      </c>
      <c r="E48" s="141" t="s">
        <v>1829</v>
      </c>
      <c r="F48" s="141" t="s">
        <v>1756</v>
      </c>
      <c r="G48" s="154" t="str">
        <f t="shared" si="27"/>
        <v>10/VKTH3PC</v>
      </c>
      <c r="H48" s="141" t="str">
        <f t="shared" si="28"/>
        <v>10/VKTH3PC</v>
      </c>
      <c r="I48" s="177" t="s">
        <v>1747</v>
      </c>
      <c r="J48" s="177" t="s">
        <v>1747</v>
      </c>
      <c r="K48" s="155">
        <f t="shared" si="4"/>
        <v>-1</v>
      </c>
      <c r="L48" s="186" t="s">
        <v>1741</v>
      </c>
      <c r="M48" s="186" t="s">
        <v>1741</v>
      </c>
      <c r="N48" s="177" t="s">
        <v>1747</v>
      </c>
      <c r="O48" s="177" t="s">
        <v>1747</v>
      </c>
      <c r="P48" s="155"/>
      <c r="Q48" s="186" t="s">
        <v>1639</v>
      </c>
      <c r="R48" s="186" t="s">
        <v>873</v>
      </c>
      <c r="S48" s="165"/>
      <c r="V48" s="165"/>
    </row>
    <row r="49" spans="1:22" s="186" customFormat="1">
      <c r="A49" s="186">
        <f t="shared" si="7"/>
        <v>10</v>
      </c>
      <c r="B49" s="186" t="s">
        <v>1828</v>
      </c>
      <c r="C49" s="186" t="s">
        <v>1511</v>
      </c>
      <c r="D49" s="140" t="s">
        <v>1809</v>
      </c>
      <c r="E49" s="141" t="s">
        <v>1829</v>
      </c>
      <c r="F49" s="141" t="s">
        <v>1756</v>
      </c>
      <c r="G49" s="154" t="str">
        <f t="shared" ref="G49" si="38">A49&amp;"/"&amp;B49</f>
        <v>10/CTTH3PC</v>
      </c>
      <c r="H49" s="141" t="str">
        <f t="shared" ref="H49" si="39">A49&amp;"/"&amp;B49</f>
        <v>10/CTTH3PC</v>
      </c>
      <c r="I49" s="177" t="s">
        <v>1747</v>
      </c>
      <c r="J49" s="177" t="s">
        <v>1747</v>
      </c>
      <c r="K49" s="155">
        <f t="shared" ref="K49" si="40">P49-1</f>
        <v>-1</v>
      </c>
      <c r="L49" s="186" t="s">
        <v>1741</v>
      </c>
      <c r="M49" s="186" t="s">
        <v>1741</v>
      </c>
      <c r="N49" s="177" t="s">
        <v>1747</v>
      </c>
      <c r="O49" s="177" t="s">
        <v>1747</v>
      </c>
      <c r="P49" s="155"/>
      <c r="Q49" s="186" t="s">
        <v>1639</v>
      </c>
      <c r="R49" s="186" t="s">
        <v>873</v>
      </c>
      <c r="S49" s="165"/>
      <c r="V49" s="165"/>
    </row>
    <row r="50" spans="1:22" s="186" customFormat="1">
      <c r="A50" s="186">
        <f t="shared" si="7"/>
        <v>10</v>
      </c>
      <c r="B50" s="186" t="s">
        <v>1822</v>
      </c>
      <c r="C50" s="186" t="s">
        <v>1512</v>
      </c>
      <c r="D50" s="140" t="s">
        <v>1771</v>
      </c>
      <c r="E50" s="141" t="s">
        <v>1829</v>
      </c>
      <c r="F50" s="141" t="s">
        <v>1756</v>
      </c>
      <c r="G50" s="154" t="str">
        <f t="shared" si="27"/>
        <v>10/CBTH3PC</v>
      </c>
      <c r="H50" s="141" t="str">
        <f t="shared" si="28"/>
        <v>10/CBTH3PC</v>
      </c>
      <c r="I50" s="177" t="s">
        <v>1747</v>
      </c>
      <c r="J50" s="177" t="s">
        <v>1747</v>
      </c>
      <c r="K50" s="155">
        <f t="shared" si="4"/>
        <v>-1</v>
      </c>
      <c r="L50" s="186" t="s">
        <v>1741</v>
      </c>
      <c r="M50" s="186" t="s">
        <v>1741</v>
      </c>
      <c r="N50" s="177" t="s">
        <v>1747</v>
      </c>
      <c r="O50" s="177" t="s">
        <v>1747</v>
      </c>
      <c r="P50" s="155"/>
      <c r="Q50" s="186" t="s">
        <v>1639</v>
      </c>
      <c r="R50" s="186" t="s">
        <v>873</v>
      </c>
      <c r="S50" s="165"/>
      <c r="V50" s="165"/>
    </row>
    <row r="51" spans="1:22" s="186" customFormat="1">
      <c r="A51" s="186">
        <f t="shared" si="7"/>
        <v>10</v>
      </c>
      <c r="B51" s="186" t="s">
        <v>1823</v>
      </c>
      <c r="C51" s="186" t="s">
        <v>1775</v>
      </c>
      <c r="D51" s="140" t="s">
        <v>1772</v>
      </c>
      <c r="E51" s="141" t="s">
        <v>1829</v>
      </c>
      <c r="F51" s="141" t="s">
        <v>1756</v>
      </c>
      <c r="G51" s="154" t="str">
        <f t="shared" ref="G51" si="41">A51&amp;"/"&amp;B51</f>
        <v>10/GSTH3PC</v>
      </c>
      <c r="H51" s="141" t="str">
        <f t="shared" ref="H51" si="42">A51&amp;"/"&amp;B51</f>
        <v>10/GSTH3PC</v>
      </c>
      <c r="I51" s="177" t="s">
        <v>1747</v>
      </c>
      <c r="J51" s="177" t="s">
        <v>1747</v>
      </c>
      <c r="K51" s="155">
        <f t="shared" ref="K51" si="43">P51-1</f>
        <v>-1</v>
      </c>
      <c r="L51" s="186" t="s">
        <v>1741</v>
      </c>
      <c r="M51" s="186" t="s">
        <v>1741</v>
      </c>
      <c r="N51" s="177" t="s">
        <v>1747</v>
      </c>
      <c r="O51" s="177" t="s">
        <v>1747</v>
      </c>
      <c r="P51" s="155"/>
      <c r="Q51" s="186" t="s">
        <v>1639</v>
      </c>
      <c r="R51" s="186" t="s">
        <v>873</v>
      </c>
      <c r="S51" s="165"/>
      <c r="V51" s="165"/>
    </row>
    <row r="52" spans="1:22" s="186" customFormat="1">
      <c r="A52" s="186">
        <f t="shared" si="7"/>
        <v>10</v>
      </c>
      <c r="B52" s="186" t="s">
        <v>1824</v>
      </c>
      <c r="C52" s="186" t="s">
        <v>1513</v>
      </c>
      <c r="D52" s="140" t="s">
        <v>1773</v>
      </c>
      <c r="E52" s="141" t="s">
        <v>1829</v>
      </c>
      <c r="F52" s="141" t="s">
        <v>1756</v>
      </c>
      <c r="G52" s="154" t="str">
        <f t="shared" ref="G52" si="44">A52&amp;"/"&amp;B52</f>
        <v>10/LMTH3PC</v>
      </c>
      <c r="H52" s="141" t="str">
        <f t="shared" ref="H52" si="45">A52&amp;"/"&amp;B52</f>
        <v>10/LMTH3PC</v>
      </c>
      <c r="I52" s="177" t="s">
        <v>1747</v>
      </c>
      <c r="J52" s="177" t="s">
        <v>1747</v>
      </c>
      <c r="K52" s="155">
        <f t="shared" ref="K52" si="46">P52-1</f>
        <v>-1</v>
      </c>
      <c r="L52" s="186" t="s">
        <v>1741</v>
      </c>
      <c r="M52" s="186" t="s">
        <v>1741</v>
      </c>
      <c r="N52" s="177" t="s">
        <v>1747</v>
      </c>
      <c r="O52" s="177" t="s">
        <v>1747</v>
      </c>
      <c r="P52" s="155"/>
      <c r="Q52" s="186" t="s">
        <v>1639</v>
      </c>
      <c r="R52" s="186" t="s">
        <v>873</v>
      </c>
      <c r="S52" s="165"/>
      <c r="V52" s="165"/>
    </row>
    <row r="53" spans="1:22" s="186" customFormat="1">
      <c r="A53" s="186">
        <f t="shared" si="7"/>
        <v>10</v>
      </c>
      <c r="B53" s="186" t="s">
        <v>1825</v>
      </c>
      <c r="C53" s="186" t="s">
        <v>1538</v>
      </c>
      <c r="D53" s="140" t="s">
        <v>1810</v>
      </c>
      <c r="E53" s="141" t="s">
        <v>1829</v>
      </c>
      <c r="F53" s="141" t="s">
        <v>1756</v>
      </c>
      <c r="G53" s="154" t="str">
        <f t="shared" ref="G53" si="47">A53&amp;"/"&amp;B53</f>
        <v>10/TVKTH3PC</v>
      </c>
      <c r="H53" s="141" t="str">
        <f t="shared" ref="H53" si="48">A53&amp;"/"&amp;B53</f>
        <v>10/TVKTH3PC</v>
      </c>
      <c r="I53" s="177" t="s">
        <v>1747</v>
      </c>
      <c r="J53" s="177" t="s">
        <v>1747</v>
      </c>
      <c r="K53" s="155">
        <f t="shared" ref="K53" si="49">P53-1</f>
        <v>-1</v>
      </c>
      <c r="L53" s="186" t="s">
        <v>1741</v>
      </c>
      <c r="M53" s="186" t="s">
        <v>1741</v>
      </c>
      <c r="N53" s="177" t="s">
        <v>1747</v>
      </c>
      <c r="O53" s="177" t="s">
        <v>1747</v>
      </c>
      <c r="P53" s="155"/>
      <c r="Q53" s="186" t="s">
        <v>1639</v>
      </c>
      <c r="R53" s="186" t="s">
        <v>873</v>
      </c>
      <c r="S53" s="165"/>
      <c r="V53" s="165"/>
    </row>
    <row r="54" spans="1:22" s="186" customFormat="1">
      <c r="A54" s="186">
        <f t="shared" si="7"/>
        <v>10</v>
      </c>
      <c r="B54" s="342" t="s">
        <v>1826</v>
      </c>
      <c r="C54" s="342" t="s">
        <v>1607</v>
      </c>
      <c r="D54" s="320" t="s">
        <v>1774</v>
      </c>
      <c r="E54" s="141" t="s">
        <v>1829</v>
      </c>
      <c r="F54" s="141" t="s">
        <v>1756</v>
      </c>
      <c r="G54" s="154" t="str">
        <f t="shared" ref="G54" si="50">A54&amp;"/"&amp;B54</f>
        <v>10/BTTH3PC</v>
      </c>
      <c r="H54" s="141" t="str">
        <f t="shared" ref="H54" si="51">A54&amp;"/"&amp;B54</f>
        <v>10/BTTH3PC</v>
      </c>
      <c r="I54" s="177" t="s">
        <v>1747</v>
      </c>
      <c r="J54" s="177" t="s">
        <v>1747</v>
      </c>
      <c r="K54" s="155">
        <f t="shared" ref="K54" si="52">P54-1</f>
        <v>-1</v>
      </c>
      <c r="L54" s="186" t="s">
        <v>1741</v>
      </c>
      <c r="M54" s="186" t="s">
        <v>1741</v>
      </c>
      <c r="N54" s="177" t="s">
        <v>1747</v>
      </c>
      <c r="O54" s="177" t="s">
        <v>1747</v>
      </c>
      <c r="P54" s="155"/>
      <c r="Q54" s="186" t="s">
        <v>1639</v>
      </c>
      <c r="R54" s="186" t="s">
        <v>873</v>
      </c>
      <c r="S54" s="165"/>
      <c r="V54" s="165"/>
    </row>
    <row r="55" spans="1:22" s="186" customFormat="1">
      <c r="A55" s="186">
        <f>A54+1</f>
        <v>11</v>
      </c>
      <c r="B55" s="186" t="s">
        <v>1820</v>
      </c>
      <c r="C55" s="186" t="s">
        <v>1514</v>
      </c>
      <c r="D55" s="140" t="s">
        <v>1811</v>
      </c>
      <c r="E55" s="141" t="s">
        <v>1829</v>
      </c>
      <c r="F55" s="141" t="s">
        <v>1756</v>
      </c>
      <c r="G55" s="154" t="str">
        <f t="shared" ref="G55:G128" si="53">A55&amp;"/"&amp;B55</f>
        <v>11/VLTH3PC</v>
      </c>
      <c r="H55" s="141" t="str">
        <f t="shared" ref="H55:H128" si="54">A55&amp;"/"&amp;B55</f>
        <v>11/VLTH3PC</v>
      </c>
      <c r="I55" s="177" t="s">
        <v>1747</v>
      </c>
      <c r="J55" s="177" t="s">
        <v>1747</v>
      </c>
      <c r="K55" s="155">
        <f t="shared" ref="K55:K121" si="55">P55-1</f>
        <v>-1</v>
      </c>
      <c r="L55" s="186" t="s">
        <v>1741</v>
      </c>
      <c r="M55" s="186" t="s">
        <v>1741</v>
      </c>
      <c r="N55" s="177" t="s">
        <v>1747</v>
      </c>
      <c r="O55" s="177" t="s">
        <v>1747</v>
      </c>
      <c r="P55" s="155"/>
      <c r="Q55" s="186" t="s">
        <v>1639</v>
      </c>
      <c r="R55" s="186" t="s">
        <v>873</v>
      </c>
      <c r="S55" s="165"/>
      <c r="V55" s="165"/>
    </row>
    <row r="56" spans="1:22" s="186" customFormat="1">
      <c r="A56" s="186">
        <f t="shared" si="7"/>
        <v>11</v>
      </c>
      <c r="B56" s="186" t="s">
        <v>1821</v>
      </c>
      <c r="C56" s="186" t="s">
        <v>1516</v>
      </c>
      <c r="D56" s="140" t="s">
        <v>1812</v>
      </c>
      <c r="E56" s="141" t="s">
        <v>1829</v>
      </c>
      <c r="F56" s="141" t="s">
        <v>1756</v>
      </c>
      <c r="G56" s="154" t="str">
        <f t="shared" si="53"/>
        <v>11/VKTH3PC</v>
      </c>
      <c r="H56" s="141" t="str">
        <f t="shared" si="54"/>
        <v>11/VKTH3PC</v>
      </c>
      <c r="I56" s="177" t="s">
        <v>1747</v>
      </c>
      <c r="J56" s="177" t="s">
        <v>1747</v>
      </c>
      <c r="K56" s="155">
        <f t="shared" si="55"/>
        <v>-1</v>
      </c>
      <c r="L56" s="186" t="s">
        <v>1741</v>
      </c>
      <c r="M56" s="186" t="s">
        <v>1741</v>
      </c>
      <c r="N56" s="177" t="s">
        <v>1747</v>
      </c>
      <c r="O56" s="177" t="s">
        <v>1747</v>
      </c>
      <c r="P56" s="155"/>
      <c r="Q56" s="186" t="s">
        <v>1639</v>
      </c>
      <c r="R56" s="186" t="s">
        <v>873</v>
      </c>
      <c r="S56" s="165"/>
      <c r="V56" s="165"/>
    </row>
    <row r="57" spans="1:22" s="186" customFormat="1">
      <c r="A57" s="186">
        <f t="shared" si="7"/>
        <v>11</v>
      </c>
      <c r="B57" s="186" t="s">
        <v>1828</v>
      </c>
      <c r="C57" s="186" t="s">
        <v>1515</v>
      </c>
      <c r="D57" s="140" t="s">
        <v>1813</v>
      </c>
      <c r="E57" s="141" t="s">
        <v>1829</v>
      </c>
      <c r="F57" s="141" t="s">
        <v>1756</v>
      </c>
      <c r="G57" s="154" t="str">
        <f t="shared" si="53"/>
        <v>11/CTTH3PC</v>
      </c>
      <c r="H57" s="141" t="str">
        <f t="shared" si="54"/>
        <v>11/CTTH3PC</v>
      </c>
      <c r="I57" s="177" t="s">
        <v>1747</v>
      </c>
      <c r="J57" s="177" t="s">
        <v>1747</v>
      </c>
      <c r="K57" s="155">
        <f t="shared" si="55"/>
        <v>-1</v>
      </c>
      <c r="L57" s="186" t="s">
        <v>1741</v>
      </c>
      <c r="M57" s="186" t="s">
        <v>1741</v>
      </c>
      <c r="N57" s="177" t="s">
        <v>1747</v>
      </c>
      <c r="O57" s="177" t="s">
        <v>1747</v>
      </c>
      <c r="P57" s="155"/>
      <c r="Q57" s="186" t="s">
        <v>1639</v>
      </c>
      <c r="R57" s="186" t="s">
        <v>873</v>
      </c>
      <c r="S57" s="165"/>
      <c r="V57" s="165"/>
    </row>
    <row r="58" spans="1:22" s="186" customFormat="1">
      <c r="A58" s="186">
        <f t="shared" si="7"/>
        <v>11</v>
      </c>
      <c r="B58" s="186" t="s">
        <v>1822</v>
      </c>
      <c r="C58" s="186" t="s">
        <v>1517</v>
      </c>
      <c r="D58" s="140" t="s">
        <v>1814</v>
      </c>
      <c r="E58" s="141" t="s">
        <v>1829</v>
      </c>
      <c r="F58" s="141" t="s">
        <v>1756</v>
      </c>
      <c r="G58" s="154" t="str">
        <f t="shared" si="53"/>
        <v>11/CBTH3PC</v>
      </c>
      <c r="H58" s="141" t="str">
        <f t="shared" si="54"/>
        <v>11/CBTH3PC</v>
      </c>
      <c r="I58" s="177" t="s">
        <v>1747</v>
      </c>
      <c r="J58" s="177" t="s">
        <v>1747</v>
      </c>
      <c r="K58" s="155">
        <f t="shared" ref="K58:K60" si="56">P58-1</f>
        <v>-1</v>
      </c>
      <c r="L58" s="186" t="s">
        <v>1741</v>
      </c>
      <c r="M58" s="186" t="s">
        <v>1741</v>
      </c>
      <c r="N58" s="177" t="s">
        <v>1747</v>
      </c>
      <c r="O58" s="177" t="s">
        <v>1747</v>
      </c>
      <c r="P58" s="155"/>
      <c r="Q58" s="186" t="s">
        <v>1639</v>
      </c>
      <c r="R58" s="186" t="s">
        <v>873</v>
      </c>
      <c r="S58" s="165"/>
      <c r="V58" s="165"/>
    </row>
    <row r="59" spans="1:22" s="186" customFormat="1">
      <c r="A59" s="186">
        <f t="shared" si="7"/>
        <v>11</v>
      </c>
      <c r="B59" s="186" t="s">
        <v>1823</v>
      </c>
      <c r="C59" s="186" t="s">
        <v>1776</v>
      </c>
      <c r="D59" s="140" t="s">
        <v>1815</v>
      </c>
      <c r="E59" s="141" t="s">
        <v>1829</v>
      </c>
      <c r="F59" s="141" t="s">
        <v>1756</v>
      </c>
      <c r="G59" s="154" t="str">
        <f t="shared" ref="G59" si="57">A59&amp;"/"&amp;B59</f>
        <v>11/GSTH3PC</v>
      </c>
      <c r="H59" s="141" t="str">
        <f t="shared" ref="H59" si="58">A59&amp;"/"&amp;B59</f>
        <v>11/GSTH3PC</v>
      </c>
      <c r="I59" s="177" t="s">
        <v>1747</v>
      </c>
      <c r="J59" s="177" t="s">
        <v>1747</v>
      </c>
      <c r="K59" s="155">
        <f t="shared" ref="K59" si="59">P59-1</f>
        <v>-1</v>
      </c>
      <c r="L59" s="186" t="s">
        <v>1741</v>
      </c>
      <c r="M59" s="186" t="s">
        <v>1741</v>
      </c>
      <c r="N59" s="177" t="s">
        <v>1747</v>
      </c>
      <c r="O59" s="177" t="s">
        <v>1747</v>
      </c>
      <c r="P59" s="155"/>
      <c r="Q59" s="186" t="s">
        <v>1639</v>
      </c>
      <c r="R59" s="186" t="s">
        <v>873</v>
      </c>
      <c r="S59" s="165"/>
      <c r="V59" s="165"/>
    </row>
    <row r="60" spans="1:22" s="186" customFormat="1">
      <c r="A60" s="186">
        <f t="shared" si="7"/>
        <v>11</v>
      </c>
      <c r="B60" s="186" t="s">
        <v>1824</v>
      </c>
      <c r="C60" s="186" t="s">
        <v>1518</v>
      </c>
      <c r="D60" s="140" t="s">
        <v>1816</v>
      </c>
      <c r="E60" s="141" t="s">
        <v>1829</v>
      </c>
      <c r="F60" s="141" t="s">
        <v>1756</v>
      </c>
      <c r="G60" s="154" t="str">
        <f t="shared" si="53"/>
        <v>11/LMTH3PC</v>
      </c>
      <c r="H60" s="141" t="str">
        <f t="shared" si="54"/>
        <v>11/LMTH3PC</v>
      </c>
      <c r="I60" s="177" t="s">
        <v>1747</v>
      </c>
      <c r="J60" s="177" t="s">
        <v>1747</v>
      </c>
      <c r="K60" s="155">
        <f t="shared" si="56"/>
        <v>-1</v>
      </c>
      <c r="L60" s="186" t="s">
        <v>1741</v>
      </c>
      <c r="M60" s="186" t="s">
        <v>1741</v>
      </c>
      <c r="N60" s="177" t="s">
        <v>1747</v>
      </c>
      <c r="O60" s="177" t="s">
        <v>1747</v>
      </c>
      <c r="P60" s="155"/>
      <c r="Q60" s="186" t="s">
        <v>1639</v>
      </c>
      <c r="R60" s="186" t="s">
        <v>873</v>
      </c>
      <c r="S60" s="165"/>
      <c r="V60" s="165"/>
    </row>
    <row r="61" spans="1:22" s="186" customFormat="1">
      <c r="A61" s="186">
        <f t="shared" si="7"/>
        <v>11</v>
      </c>
      <c r="B61" s="186" t="s">
        <v>1825</v>
      </c>
      <c r="C61" s="186" t="s">
        <v>1527</v>
      </c>
      <c r="D61" s="140" t="s">
        <v>1817</v>
      </c>
      <c r="E61" s="141" t="s">
        <v>1829</v>
      </c>
      <c r="F61" s="141" t="s">
        <v>1756</v>
      </c>
      <c r="G61" s="154" t="str">
        <f t="shared" ref="G61" si="60">A61&amp;"/"&amp;B61</f>
        <v>11/TVKTH3PC</v>
      </c>
      <c r="H61" s="141" t="str">
        <f t="shared" ref="H61" si="61">A61&amp;"/"&amp;B61</f>
        <v>11/TVKTH3PC</v>
      </c>
      <c r="I61" s="177" t="s">
        <v>1747</v>
      </c>
      <c r="J61" s="177" t="s">
        <v>1747</v>
      </c>
      <c r="K61" s="155">
        <f t="shared" ref="K61" si="62">P61-1</f>
        <v>-1</v>
      </c>
      <c r="L61" s="186" t="s">
        <v>1741</v>
      </c>
      <c r="M61" s="186" t="s">
        <v>1741</v>
      </c>
      <c r="N61" s="177" t="s">
        <v>1747</v>
      </c>
      <c r="O61" s="177" t="s">
        <v>1747</v>
      </c>
      <c r="P61" s="155"/>
      <c r="Q61" s="186" t="s">
        <v>1639</v>
      </c>
      <c r="R61" s="186" t="s">
        <v>873</v>
      </c>
      <c r="S61" s="165"/>
      <c r="V61" s="165"/>
    </row>
    <row r="62" spans="1:22" s="186" customFormat="1">
      <c r="A62" s="186">
        <f t="shared" si="7"/>
        <v>11</v>
      </c>
      <c r="B62" s="342" t="s">
        <v>1826</v>
      </c>
      <c r="C62" s="342" t="s">
        <v>1608</v>
      </c>
      <c r="D62" s="320" t="s">
        <v>1818</v>
      </c>
      <c r="E62" s="141" t="s">
        <v>1829</v>
      </c>
      <c r="F62" s="141" t="s">
        <v>1756</v>
      </c>
      <c r="G62" s="154" t="str">
        <f t="shared" si="53"/>
        <v>11/BTTH3PC</v>
      </c>
      <c r="H62" s="141" t="str">
        <f t="shared" si="54"/>
        <v>11/BTTH3PC</v>
      </c>
      <c r="I62" s="177" t="s">
        <v>1747</v>
      </c>
      <c r="J62" s="177" t="s">
        <v>1747</v>
      </c>
      <c r="K62" s="155">
        <f t="shared" si="55"/>
        <v>-1</v>
      </c>
      <c r="L62" s="186" t="s">
        <v>1741</v>
      </c>
      <c r="M62" s="186" t="s">
        <v>1741</v>
      </c>
      <c r="N62" s="177" t="s">
        <v>1747</v>
      </c>
      <c r="O62" s="177" t="s">
        <v>1747</v>
      </c>
      <c r="P62" s="155"/>
      <c r="Q62" s="186" t="s">
        <v>1639</v>
      </c>
      <c r="R62" s="186" t="s">
        <v>873</v>
      </c>
      <c r="S62" s="165"/>
      <c r="V62" s="165"/>
    </row>
    <row r="63" spans="1:22" s="186" customFormat="1">
      <c r="A63" s="186">
        <f>A62+1</f>
        <v>12</v>
      </c>
      <c r="D63" s="140"/>
      <c r="E63" s="141" t="s">
        <v>1829</v>
      </c>
      <c r="F63" s="141" t="s">
        <v>1756</v>
      </c>
      <c r="G63" s="154" t="str">
        <f t="shared" si="53"/>
        <v>12/</v>
      </c>
      <c r="H63" s="141" t="str">
        <f t="shared" si="54"/>
        <v>12/</v>
      </c>
      <c r="I63" s="177" t="s">
        <v>1747</v>
      </c>
      <c r="J63" s="177" t="s">
        <v>1747</v>
      </c>
      <c r="K63" s="155">
        <f t="shared" si="55"/>
        <v>-1</v>
      </c>
      <c r="L63" s="186" t="s">
        <v>1741</v>
      </c>
      <c r="M63" s="186" t="s">
        <v>1741</v>
      </c>
      <c r="N63" s="177" t="s">
        <v>1747</v>
      </c>
      <c r="O63" s="177" t="s">
        <v>1747</v>
      </c>
      <c r="P63" s="155"/>
      <c r="Q63" s="186" t="s">
        <v>1639</v>
      </c>
      <c r="R63" s="186" t="s">
        <v>873</v>
      </c>
      <c r="S63" s="165"/>
      <c r="V63" s="165"/>
    </row>
    <row r="64" spans="1:22" s="186" customFormat="1">
      <c r="A64" s="186">
        <f t="shared" si="7"/>
        <v>12</v>
      </c>
      <c r="D64" s="140"/>
      <c r="E64" s="141" t="s">
        <v>1829</v>
      </c>
      <c r="F64" s="141" t="s">
        <v>1756</v>
      </c>
      <c r="G64" s="154" t="str">
        <f t="shared" si="53"/>
        <v>12/</v>
      </c>
      <c r="H64" s="141" t="str">
        <f t="shared" si="54"/>
        <v>12/</v>
      </c>
      <c r="I64" s="177" t="s">
        <v>1747</v>
      </c>
      <c r="J64" s="177" t="s">
        <v>1747</v>
      </c>
      <c r="K64" s="155">
        <f t="shared" si="55"/>
        <v>-1</v>
      </c>
      <c r="L64" s="186" t="s">
        <v>1741</v>
      </c>
      <c r="M64" s="186" t="s">
        <v>1741</v>
      </c>
      <c r="N64" s="177" t="s">
        <v>1747</v>
      </c>
      <c r="O64" s="177" t="s">
        <v>1747</v>
      </c>
      <c r="P64" s="155"/>
      <c r="Q64" s="186" t="s">
        <v>1639</v>
      </c>
      <c r="R64" s="186" t="s">
        <v>873</v>
      </c>
      <c r="S64" s="165"/>
      <c r="V64" s="165"/>
    </row>
    <row r="65" spans="1:22" s="186" customFormat="1">
      <c r="A65" s="186">
        <f t="shared" si="7"/>
        <v>12</v>
      </c>
      <c r="D65" s="140"/>
      <c r="E65" s="141" t="s">
        <v>1829</v>
      </c>
      <c r="F65" s="141" t="s">
        <v>1756</v>
      </c>
      <c r="G65" s="154" t="str">
        <f t="shared" ref="G65:G71" si="63">A65&amp;"/"&amp;B65</f>
        <v>12/</v>
      </c>
      <c r="H65" s="141" t="str">
        <f t="shared" ref="H65:H71" si="64">A65&amp;"/"&amp;B65</f>
        <v>12/</v>
      </c>
      <c r="I65" s="177" t="s">
        <v>1747</v>
      </c>
      <c r="J65" s="177" t="s">
        <v>1747</v>
      </c>
      <c r="K65" s="155">
        <f t="shared" si="55"/>
        <v>-1</v>
      </c>
      <c r="L65" s="186" t="s">
        <v>1741</v>
      </c>
      <c r="M65" s="186" t="s">
        <v>1741</v>
      </c>
      <c r="N65" s="177" t="s">
        <v>1747</v>
      </c>
      <c r="O65" s="177" t="s">
        <v>1747</v>
      </c>
      <c r="P65" s="155"/>
      <c r="Q65" s="186" t="s">
        <v>1639</v>
      </c>
      <c r="R65" s="186" t="s">
        <v>873</v>
      </c>
      <c r="S65" s="165"/>
      <c r="V65" s="165"/>
    </row>
    <row r="66" spans="1:22" s="186" customFormat="1">
      <c r="A66" s="186">
        <f t="shared" si="7"/>
        <v>12</v>
      </c>
      <c r="D66" s="140"/>
      <c r="E66" s="141" t="s">
        <v>1829</v>
      </c>
      <c r="F66" s="141" t="s">
        <v>1756</v>
      </c>
      <c r="G66" s="154" t="str">
        <f t="shared" si="63"/>
        <v>12/</v>
      </c>
      <c r="H66" s="141" t="str">
        <f t="shared" si="64"/>
        <v>12/</v>
      </c>
      <c r="I66" s="177" t="s">
        <v>1747</v>
      </c>
      <c r="J66" s="177" t="s">
        <v>1747</v>
      </c>
      <c r="K66" s="155">
        <f t="shared" si="55"/>
        <v>-1</v>
      </c>
      <c r="L66" s="186" t="s">
        <v>1741</v>
      </c>
      <c r="M66" s="186" t="s">
        <v>1741</v>
      </c>
      <c r="N66" s="177" t="s">
        <v>1747</v>
      </c>
      <c r="O66" s="177" t="s">
        <v>1747</v>
      </c>
      <c r="P66" s="155"/>
      <c r="Q66" s="186" t="s">
        <v>1639</v>
      </c>
      <c r="R66" s="186" t="s">
        <v>873</v>
      </c>
      <c r="S66" s="165"/>
      <c r="V66" s="165"/>
    </row>
    <row r="67" spans="1:22" s="186" customFormat="1">
      <c r="A67" s="186">
        <f t="shared" si="7"/>
        <v>12</v>
      </c>
      <c r="D67" s="140"/>
      <c r="E67" s="141" t="s">
        <v>1829</v>
      </c>
      <c r="F67" s="141" t="s">
        <v>1756</v>
      </c>
      <c r="G67" s="154" t="str">
        <f t="shared" si="63"/>
        <v>12/</v>
      </c>
      <c r="H67" s="141" t="str">
        <f t="shared" si="64"/>
        <v>12/</v>
      </c>
      <c r="I67" s="177" t="s">
        <v>1747</v>
      </c>
      <c r="J67" s="177" t="s">
        <v>1747</v>
      </c>
      <c r="K67" s="155">
        <f t="shared" si="55"/>
        <v>-1</v>
      </c>
      <c r="L67" s="186" t="s">
        <v>1741</v>
      </c>
      <c r="M67" s="186" t="s">
        <v>1741</v>
      </c>
      <c r="N67" s="177" t="s">
        <v>1747</v>
      </c>
      <c r="O67" s="177" t="s">
        <v>1747</v>
      </c>
      <c r="P67" s="155"/>
      <c r="Q67" s="186" t="s">
        <v>1639</v>
      </c>
      <c r="R67" s="186" t="s">
        <v>873</v>
      </c>
      <c r="S67" s="165"/>
      <c r="V67" s="165"/>
    </row>
    <row r="68" spans="1:22" s="186" customFormat="1">
      <c r="A68" s="186">
        <f t="shared" si="7"/>
        <v>12</v>
      </c>
      <c r="D68" s="140"/>
      <c r="E68" s="141" t="s">
        <v>1829</v>
      </c>
      <c r="F68" s="141" t="s">
        <v>1756</v>
      </c>
      <c r="G68" s="154" t="str">
        <f t="shared" si="63"/>
        <v>12/</v>
      </c>
      <c r="H68" s="141" t="str">
        <f t="shared" si="64"/>
        <v>12/</v>
      </c>
      <c r="I68" s="177" t="s">
        <v>1747</v>
      </c>
      <c r="J68" s="177" t="s">
        <v>1747</v>
      </c>
      <c r="K68" s="155">
        <f t="shared" si="55"/>
        <v>-1</v>
      </c>
      <c r="L68" s="186" t="s">
        <v>1741</v>
      </c>
      <c r="M68" s="186" t="s">
        <v>1741</v>
      </c>
      <c r="N68" s="177" t="s">
        <v>1747</v>
      </c>
      <c r="O68" s="177" t="s">
        <v>1747</v>
      </c>
      <c r="P68" s="155"/>
      <c r="Q68" s="186" t="s">
        <v>1639</v>
      </c>
      <c r="R68" s="186" t="s">
        <v>873</v>
      </c>
      <c r="S68" s="165"/>
      <c r="V68" s="165"/>
    </row>
    <row r="69" spans="1:22" s="186" customFormat="1">
      <c r="A69" s="186">
        <f t="shared" ref="A69:A125" si="65">A68</f>
        <v>12</v>
      </c>
      <c r="D69" s="140"/>
      <c r="E69" s="141" t="s">
        <v>1829</v>
      </c>
      <c r="F69" s="141" t="s">
        <v>1756</v>
      </c>
      <c r="G69" s="154" t="str">
        <f t="shared" si="63"/>
        <v>12/</v>
      </c>
      <c r="H69" s="141" t="str">
        <f t="shared" si="64"/>
        <v>12/</v>
      </c>
      <c r="I69" s="177" t="s">
        <v>1747</v>
      </c>
      <c r="J69" s="177" t="s">
        <v>1747</v>
      </c>
      <c r="K69" s="155">
        <f t="shared" si="55"/>
        <v>-1</v>
      </c>
      <c r="L69" s="186" t="s">
        <v>1741</v>
      </c>
      <c r="M69" s="186" t="s">
        <v>1741</v>
      </c>
      <c r="N69" s="177" t="s">
        <v>1747</v>
      </c>
      <c r="O69" s="177" t="s">
        <v>1747</v>
      </c>
      <c r="P69" s="155"/>
      <c r="Q69" s="186" t="s">
        <v>1639</v>
      </c>
      <c r="R69" s="186" t="s">
        <v>873</v>
      </c>
      <c r="S69" s="165"/>
      <c r="V69" s="165"/>
    </row>
    <row r="70" spans="1:22" s="186" customFormat="1">
      <c r="A70" s="186">
        <f t="shared" si="65"/>
        <v>12</v>
      </c>
      <c r="D70" s="140"/>
      <c r="E70" s="141" t="s">
        <v>1829</v>
      </c>
      <c r="F70" s="141" t="s">
        <v>1756</v>
      </c>
      <c r="G70" s="154" t="str">
        <f t="shared" si="63"/>
        <v>12/</v>
      </c>
      <c r="H70" s="141" t="str">
        <f t="shared" si="64"/>
        <v>12/</v>
      </c>
      <c r="I70" s="177" t="s">
        <v>1747</v>
      </c>
      <c r="J70" s="177" t="s">
        <v>1747</v>
      </c>
      <c r="K70" s="155">
        <f t="shared" ref="K70:K71" si="66">P70-1</f>
        <v>-1</v>
      </c>
      <c r="L70" s="186" t="s">
        <v>1741</v>
      </c>
      <c r="M70" s="186" t="s">
        <v>1741</v>
      </c>
      <c r="N70" s="177" t="s">
        <v>1747</v>
      </c>
      <c r="O70" s="177" t="s">
        <v>1747</v>
      </c>
      <c r="P70" s="155"/>
      <c r="Q70" s="186" t="s">
        <v>1639</v>
      </c>
      <c r="R70" s="186" t="s">
        <v>873</v>
      </c>
      <c r="S70" s="165"/>
      <c r="V70" s="165"/>
    </row>
    <row r="71" spans="1:22" s="186" customFormat="1">
      <c r="A71" s="186">
        <f t="shared" si="65"/>
        <v>12</v>
      </c>
      <c r="D71" s="140"/>
      <c r="E71" s="141" t="s">
        <v>1829</v>
      </c>
      <c r="F71" s="141" t="s">
        <v>1756</v>
      </c>
      <c r="G71" s="154" t="str">
        <f t="shared" si="63"/>
        <v>12/</v>
      </c>
      <c r="H71" s="141" t="str">
        <f t="shared" si="64"/>
        <v>12/</v>
      </c>
      <c r="I71" s="177" t="s">
        <v>1747</v>
      </c>
      <c r="J71" s="177" t="s">
        <v>1747</v>
      </c>
      <c r="K71" s="155">
        <f t="shared" si="66"/>
        <v>-1</v>
      </c>
      <c r="L71" s="186" t="s">
        <v>1741</v>
      </c>
      <c r="M71" s="186" t="s">
        <v>1741</v>
      </c>
      <c r="N71" s="177" t="s">
        <v>1747</v>
      </c>
      <c r="O71" s="177" t="s">
        <v>1747</v>
      </c>
      <c r="P71" s="155"/>
      <c r="Q71" s="186" t="s">
        <v>1639</v>
      </c>
      <c r="R71" s="186" t="s">
        <v>873</v>
      </c>
      <c r="S71" s="165"/>
      <c r="V71" s="165"/>
    </row>
    <row r="72" spans="1:22" s="186" customFormat="1">
      <c r="A72" s="186">
        <f t="shared" si="65"/>
        <v>12</v>
      </c>
      <c r="D72" s="140"/>
      <c r="E72" s="141" t="s">
        <v>1829</v>
      </c>
      <c r="F72" s="141" t="s">
        <v>1756</v>
      </c>
      <c r="G72" s="154" t="str">
        <f t="shared" si="53"/>
        <v>12/</v>
      </c>
      <c r="H72" s="141" t="str">
        <f t="shared" si="54"/>
        <v>12/</v>
      </c>
      <c r="I72" s="177" t="s">
        <v>1747</v>
      </c>
      <c r="J72" s="177" t="s">
        <v>1747</v>
      </c>
      <c r="K72" s="155">
        <f t="shared" si="55"/>
        <v>-1</v>
      </c>
      <c r="L72" s="186" t="s">
        <v>1741</v>
      </c>
      <c r="M72" s="186" t="s">
        <v>1741</v>
      </c>
      <c r="N72" s="177" t="s">
        <v>1747</v>
      </c>
      <c r="O72" s="177" t="s">
        <v>1747</v>
      </c>
      <c r="P72" s="155"/>
      <c r="Q72" s="186" t="s">
        <v>1639</v>
      </c>
      <c r="R72" s="186" t="s">
        <v>873</v>
      </c>
      <c r="S72" s="165"/>
      <c r="V72" s="165"/>
    </row>
    <row r="73" spans="1:22" s="186" customFormat="1">
      <c r="A73" s="186">
        <f t="shared" si="65"/>
        <v>12</v>
      </c>
      <c r="D73" s="140"/>
      <c r="E73" s="141" t="s">
        <v>1829</v>
      </c>
      <c r="F73" s="141" t="s">
        <v>1756</v>
      </c>
      <c r="G73" s="154" t="str">
        <f t="shared" si="53"/>
        <v>12/</v>
      </c>
      <c r="H73" s="141" t="str">
        <f t="shared" si="54"/>
        <v>12/</v>
      </c>
      <c r="I73" s="177" t="s">
        <v>1747</v>
      </c>
      <c r="J73" s="177" t="s">
        <v>1747</v>
      </c>
      <c r="K73" s="155">
        <f t="shared" si="55"/>
        <v>-1</v>
      </c>
      <c r="L73" s="186" t="s">
        <v>1741</v>
      </c>
      <c r="M73" s="186" t="s">
        <v>1741</v>
      </c>
      <c r="N73" s="177" t="s">
        <v>1747</v>
      </c>
      <c r="O73" s="177" t="s">
        <v>1747</v>
      </c>
      <c r="P73" s="155"/>
      <c r="Q73" s="186" t="s">
        <v>1639</v>
      </c>
      <c r="R73" s="186" t="s">
        <v>873</v>
      </c>
      <c r="S73" s="165"/>
      <c r="V73" s="165"/>
    </row>
    <row r="74" spans="1:22" s="186" customFormat="1">
      <c r="A74" s="186">
        <f t="shared" si="65"/>
        <v>12</v>
      </c>
      <c r="D74" s="140"/>
      <c r="E74" s="141" t="s">
        <v>1829</v>
      </c>
      <c r="F74" s="141" t="s">
        <v>1756</v>
      </c>
      <c r="G74" s="154" t="str">
        <f t="shared" si="53"/>
        <v>12/</v>
      </c>
      <c r="H74" s="141" t="str">
        <f t="shared" si="54"/>
        <v>12/</v>
      </c>
      <c r="I74" s="177" t="s">
        <v>1747</v>
      </c>
      <c r="J74" s="177" t="s">
        <v>1747</v>
      </c>
      <c r="K74" s="155">
        <f t="shared" si="55"/>
        <v>-1</v>
      </c>
      <c r="L74" s="186" t="s">
        <v>1741</v>
      </c>
      <c r="M74" s="186" t="s">
        <v>1741</v>
      </c>
      <c r="N74" s="177" t="s">
        <v>1747</v>
      </c>
      <c r="O74" s="177" t="s">
        <v>1747</v>
      </c>
      <c r="P74" s="155"/>
      <c r="Q74" s="186" t="s">
        <v>1639</v>
      </c>
      <c r="R74" s="186" t="s">
        <v>873</v>
      </c>
      <c r="S74" s="165"/>
      <c r="V74" s="165"/>
    </row>
    <row r="75" spans="1:22" s="186" customFormat="1">
      <c r="A75" s="186">
        <f t="shared" si="65"/>
        <v>12</v>
      </c>
      <c r="D75" s="140"/>
      <c r="E75" s="141" t="s">
        <v>1829</v>
      </c>
      <c r="F75" s="141" t="s">
        <v>1756</v>
      </c>
      <c r="G75" s="154" t="str">
        <f t="shared" ref="G75" si="67">A75&amp;"/"&amp;B75</f>
        <v>12/</v>
      </c>
      <c r="H75" s="141" t="str">
        <f t="shared" ref="H75" si="68">A75&amp;"/"&amp;B75</f>
        <v>12/</v>
      </c>
      <c r="I75" s="177" t="s">
        <v>1747</v>
      </c>
      <c r="J75" s="177" t="s">
        <v>1747</v>
      </c>
      <c r="K75" s="155">
        <f t="shared" ref="K75" si="69">P75-1</f>
        <v>-1</v>
      </c>
      <c r="L75" s="186" t="s">
        <v>1741</v>
      </c>
      <c r="M75" s="186" t="s">
        <v>1741</v>
      </c>
      <c r="N75" s="177" t="s">
        <v>1747</v>
      </c>
      <c r="O75" s="177" t="s">
        <v>1747</v>
      </c>
      <c r="P75" s="155"/>
      <c r="Q75" s="186" t="s">
        <v>1639</v>
      </c>
      <c r="R75" s="186" t="s">
        <v>873</v>
      </c>
      <c r="S75" s="165"/>
      <c r="V75" s="165"/>
    </row>
    <row r="76" spans="1:22" s="186" customFormat="1">
      <c r="A76" s="186">
        <f t="shared" si="65"/>
        <v>12</v>
      </c>
      <c r="D76" s="140"/>
      <c r="E76" s="141" t="s">
        <v>1829</v>
      </c>
      <c r="F76" s="141" t="s">
        <v>1756</v>
      </c>
      <c r="G76" s="154" t="str">
        <f t="shared" si="53"/>
        <v>12/</v>
      </c>
      <c r="H76" s="141" t="str">
        <f t="shared" si="54"/>
        <v>12/</v>
      </c>
      <c r="I76" s="177" t="s">
        <v>1747</v>
      </c>
      <c r="J76" s="177" t="s">
        <v>1747</v>
      </c>
      <c r="K76" s="155">
        <f t="shared" si="55"/>
        <v>-1</v>
      </c>
      <c r="L76" s="186" t="s">
        <v>1741</v>
      </c>
      <c r="M76" s="186" t="s">
        <v>1741</v>
      </c>
      <c r="N76" s="177" t="s">
        <v>1747</v>
      </c>
      <c r="O76" s="177" t="s">
        <v>1747</v>
      </c>
      <c r="P76" s="155"/>
      <c r="Q76" s="186" t="s">
        <v>1639</v>
      </c>
      <c r="R76" s="186" t="s">
        <v>873</v>
      </c>
      <c r="S76" s="165"/>
      <c r="V76" s="165"/>
    </row>
    <row r="77" spans="1:22" s="186" customFormat="1">
      <c r="A77" s="186">
        <f t="shared" si="65"/>
        <v>12</v>
      </c>
      <c r="D77" s="140"/>
      <c r="E77" s="141" t="s">
        <v>1829</v>
      </c>
      <c r="F77" s="141" t="s">
        <v>1756</v>
      </c>
      <c r="G77" s="154" t="str">
        <f t="shared" si="53"/>
        <v>12/</v>
      </c>
      <c r="H77" s="141" t="str">
        <f t="shared" si="54"/>
        <v>12/</v>
      </c>
      <c r="I77" s="177" t="s">
        <v>1747</v>
      </c>
      <c r="J77" s="177" t="s">
        <v>1747</v>
      </c>
      <c r="K77" s="155">
        <f t="shared" si="55"/>
        <v>-1</v>
      </c>
      <c r="L77" s="186" t="s">
        <v>1741</v>
      </c>
      <c r="M77" s="186" t="s">
        <v>1741</v>
      </c>
      <c r="N77" s="177" t="s">
        <v>1747</v>
      </c>
      <c r="O77" s="177" t="s">
        <v>1747</v>
      </c>
      <c r="P77" s="155"/>
      <c r="Q77" s="186" t="s">
        <v>1639</v>
      </c>
      <c r="R77" s="186" t="s">
        <v>873</v>
      </c>
      <c r="S77" s="165"/>
      <c r="V77" s="165"/>
    </row>
    <row r="78" spans="1:22" s="186" customFormat="1">
      <c r="A78" s="186">
        <f t="shared" si="65"/>
        <v>12</v>
      </c>
      <c r="D78" s="140"/>
      <c r="E78" s="141" t="s">
        <v>1829</v>
      </c>
      <c r="F78" s="141" t="s">
        <v>1756</v>
      </c>
      <c r="G78" s="154" t="str">
        <f t="shared" si="53"/>
        <v>12/</v>
      </c>
      <c r="H78" s="141" t="str">
        <f t="shared" si="54"/>
        <v>12/</v>
      </c>
      <c r="I78" s="177" t="s">
        <v>1747</v>
      </c>
      <c r="J78" s="177" t="s">
        <v>1747</v>
      </c>
      <c r="K78" s="155">
        <f t="shared" si="55"/>
        <v>-1</v>
      </c>
      <c r="L78" s="186" t="s">
        <v>1741</v>
      </c>
      <c r="M78" s="186" t="s">
        <v>1741</v>
      </c>
      <c r="N78" s="177" t="s">
        <v>1747</v>
      </c>
      <c r="O78" s="177" t="s">
        <v>1747</v>
      </c>
      <c r="P78" s="155"/>
      <c r="Q78" s="186" t="s">
        <v>1639</v>
      </c>
      <c r="R78" s="186" t="s">
        <v>873</v>
      </c>
      <c r="S78" s="165"/>
      <c r="V78" s="165"/>
    </row>
    <row r="79" spans="1:22" s="186" customFormat="1">
      <c r="A79" s="186">
        <f t="shared" si="65"/>
        <v>12</v>
      </c>
      <c r="D79" s="140"/>
      <c r="E79" s="141" t="s">
        <v>1829</v>
      </c>
      <c r="F79" s="141" t="s">
        <v>1756</v>
      </c>
      <c r="G79" s="154" t="str">
        <f t="shared" si="53"/>
        <v>12/</v>
      </c>
      <c r="H79" s="141" t="str">
        <f t="shared" si="54"/>
        <v>12/</v>
      </c>
      <c r="I79" s="177" t="s">
        <v>1747</v>
      </c>
      <c r="J79" s="177" t="s">
        <v>1747</v>
      </c>
      <c r="K79" s="155">
        <f t="shared" si="55"/>
        <v>-1</v>
      </c>
      <c r="L79" s="186" t="s">
        <v>1741</v>
      </c>
      <c r="M79" s="186" t="s">
        <v>1741</v>
      </c>
      <c r="N79" s="177" t="s">
        <v>1747</v>
      </c>
      <c r="O79" s="177" t="s">
        <v>1747</v>
      </c>
      <c r="P79" s="155"/>
      <c r="Q79" s="186" t="s">
        <v>1639</v>
      </c>
      <c r="R79" s="186" t="s">
        <v>873</v>
      </c>
      <c r="S79" s="165"/>
      <c r="V79" s="165"/>
    </row>
    <row r="80" spans="1:22" s="186" customFormat="1">
      <c r="A80" s="186">
        <f t="shared" si="65"/>
        <v>12</v>
      </c>
      <c r="D80" s="140"/>
      <c r="E80" s="141" t="s">
        <v>1829</v>
      </c>
      <c r="F80" s="141" t="s">
        <v>1756</v>
      </c>
      <c r="G80" s="154" t="str">
        <f t="shared" si="53"/>
        <v>12/</v>
      </c>
      <c r="H80" s="141" t="str">
        <f t="shared" si="54"/>
        <v>12/</v>
      </c>
      <c r="I80" s="177" t="s">
        <v>1747</v>
      </c>
      <c r="J80" s="177" t="s">
        <v>1747</v>
      </c>
      <c r="K80" s="155">
        <f t="shared" si="55"/>
        <v>-1</v>
      </c>
      <c r="L80" s="186" t="s">
        <v>1741</v>
      </c>
      <c r="M80" s="186" t="s">
        <v>1741</v>
      </c>
      <c r="N80" s="177" t="s">
        <v>1747</v>
      </c>
      <c r="O80" s="177" t="s">
        <v>1747</v>
      </c>
      <c r="P80" s="155"/>
      <c r="Q80" s="186" t="s">
        <v>1639</v>
      </c>
      <c r="R80" s="186" t="s">
        <v>873</v>
      </c>
      <c r="S80" s="165"/>
      <c r="V80" s="165"/>
    </row>
    <row r="81" spans="1:22" s="186" customFormat="1">
      <c r="A81" s="186">
        <f t="shared" si="65"/>
        <v>12</v>
      </c>
      <c r="D81" s="140"/>
      <c r="E81" s="141" t="s">
        <v>1829</v>
      </c>
      <c r="F81" s="141" t="s">
        <v>1756</v>
      </c>
      <c r="G81" s="154" t="str">
        <f t="shared" si="53"/>
        <v>12/</v>
      </c>
      <c r="H81" s="141" t="str">
        <f t="shared" si="54"/>
        <v>12/</v>
      </c>
      <c r="I81" s="177" t="s">
        <v>1747</v>
      </c>
      <c r="J81" s="177" t="s">
        <v>1747</v>
      </c>
      <c r="K81" s="155">
        <f t="shared" si="55"/>
        <v>-1</v>
      </c>
      <c r="L81" s="186" t="s">
        <v>1741</v>
      </c>
      <c r="M81" s="186" t="s">
        <v>1741</v>
      </c>
      <c r="N81" s="186">
        <f t="shared" ref="N81:N114" si="70">DAY(P81)</f>
        <v>0</v>
      </c>
      <c r="O81" s="186">
        <f t="shared" ref="O81:O114" si="71">MONTH(P81)</f>
        <v>1</v>
      </c>
      <c r="P81" s="155"/>
      <c r="R81" s="186" t="s">
        <v>873</v>
      </c>
      <c r="S81" s="165"/>
      <c r="V81" s="165"/>
    </row>
    <row r="82" spans="1:22" s="186" customFormat="1">
      <c r="A82" s="186">
        <f t="shared" si="65"/>
        <v>12</v>
      </c>
      <c r="D82" s="140"/>
      <c r="E82" s="141" t="s">
        <v>1829</v>
      </c>
      <c r="F82" s="141" t="s">
        <v>1756</v>
      </c>
      <c r="G82" s="154" t="str">
        <f t="shared" si="53"/>
        <v>12/</v>
      </c>
      <c r="H82" s="141" t="str">
        <f t="shared" si="54"/>
        <v>12/</v>
      </c>
      <c r="I82" s="177" t="s">
        <v>1747</v>
      </c>
      <c r="J82" s="177" t="s">
        <v>1747</v>
      </c>
      <c r="K82" s="155">
        <f t="shared" si="55"/>
        <v>-1</v>
      </c>
      <c r="L82" s="186" t="s">
        <v>1741</v>
      </c>
      <c r="M82" s="186" t="s">
        <v>1741</v>
      </c>
      <c r="N82" s="186">
        <f t="shared" si="70"/>
        <v>0</v>
      </c>
      <c r="O82" s="186">
        <f t="shared" si="71"/>
        <v>1</v>
      </c>
      <c r="P82" s="155"/>
      <c r="R82" s="186" t="s">
        <v>873</v>
      </c>
      <c r="S82" s="165"/>
      <c r="V82" s="165"/>
    </row>
    <row r="83" spans="1:22" s="186" customFormat="1">
      <c r="A83" s="186">
        <f t="shared" si="65"/>
        <v>12</v>
      </c>
      <c r="D83" s="140"/>
      <c r="E83" s="141" t="s">
        <v>1829</v>
      </c>
      <c r="F83" s="141" t="s">
        <v>1756</v>
      </c>
      <c r="G83" s="154" t="str">
        <f t="shared" si="53"/>
        <v>12/</v>
      </c>
      <c r="H83" s="141" t="str">
        <f t="shared" si="54"/>
        <v>12/</v>
      </c>
      <c r="I83" s="177" t="s">
        <v>1747</v>
      </c>
      <c r="J83" s="177" t="s">
        <v>1747</v>
      </c>
      <c r="K83" s="155">
        <f t="shared" si="55"/>
        <v>-1</v>
      </c>
      <c r="L83" s="186" t="s">
        <v>1741</v>
      </c>
      <c r="M83" s="186" t="s">
        <v>1741</v>
      </c>
      <c r="N83" s="186">
        <f t="shared" si="70"/>
        <v>0</v>
      </c>
      <c r="O83" s="186">
        <f t="shared" si="71"/>
        <v>1</v>
      </c>
      <c r="P83" s="155"/>
      <c r="R83" s="186" t="s">
        <v>873</v>
      </c>
      <c r="S83" s="165"/>
      <c r="V83" s="165"/>
    </row>
    <row r="84" spans="1:22" s="186" customFormat="1">
      <c r="A84" s="186">
        <f t="shared" si="65"/>
        <v>12</v>
      </c>
      <c r="D84" s="140"/>
      <c r="E84" s="141" t="s">
        <v>1829</v>
      </c>
      <c r="F84" s="141" t="s">
        <v>1756</v>
      </c>
      <c r="G84" s="154" t="str">
        <f t="shared" si="53"/>
        <v>12/</v>
      </c>
      <c r="H84" s="141" t="str">
        <f t="shared" si="54"/>
        <v>12/</v>
      </c>
      <c r="I84" s="177" t="s">
        <v>1747</v>
      </c>
      <c r="J84" s="177" t="s">
        <v>1747</v>
      </c>
      <c r="K84" s="155">
        <f t="shared" si="55"/>
        <v>-1</v>
      </c>
      <c r="L84" s="186" t="s">
        <v>1741</v>
      </c>
      <c r="M84" s="186" t="s">
        <v>1741</v>
      </c>
      <c r="N84" s="186">
        <f t="shared" si="70"/>
        <v>0</v>
      </c>
      <c r="O84" s="186">
        <f t="shared" si="71"/>
        <v>1</v>
      </c>
      <c r="P84" s="155"/>
      <c r="R84" s="186" t="s">
        <v>873</v>
      </c>
      <c r="S84" s="165"/>
      <c r="V84" s="165"/>
    </row>
    <row r="85" spans="1:22" s="186" customFormat="1">
      <c r="A85" s="186">
        <f t="shared" si="65"/>
        <v>12</v>
      </c>
      <c r="D85" s="140"/>
      <c r="E85" s="141" t="s">
        <v>1829</v>
      </c>
      <c r="F85" s="141" t="s">
        <v>1756</v>
      </c>
      <c r="G85" s="154" t="str">
        <f t="shared" si="53"/>
        <v>12/</v>
      </c>
      <c r="H85" s="141" t="str">
        <f t="shared" si="54"/>
        <v>12/</v>
      </c>
      <c r="I85" s="177" t="s">
        <v>1747</v>
      </c>
      <c r="J85" s="177" t="s">
        <v>1747</v>
      </c>
      <c r="K85" s="155">
        <f t="shared" si="55"/>
        <v>-1</v>
      </c>
      <c r="N85" s="186">
        <f t="shared" si="70"/>
        <v>0</v>
      </c>
      <c r="O85" s="186">
        <f t="shared" si="71"/>
        <v>1</v>
      </c>
      <c r="P85" s="155"/>
      <c r="R85" s="186" t="s">
        <v>873</v>
      </c>
      <c r="S85" s="165"/>
      <c r="V85" s="165"/>
    </row>
    <row r="86" spans="1:22" s="186" customFormat="1">
      <c r="A86" s="186">
        <f t="shared" si="65"/>
        <v>12</v>
      </c>
      <c r="D86" s="140"/>
      <c r="E86" s="141" t="s">
        <v>1829</v>
      </c>
      <c r="F86" s="141" t="s">
        <v>1756</v>
      </c>
      <c r="G86" s="154" t="str">
        <f t="shared" ref="G86" si="72">A86&amp;"/"&amp;B86</f>
        <v>12/</v>
      </c>
      <c r="H86" s="141" t="str">
        <f t="shared" ref="H86" si="73">A86&amp;"/"&amp;B86</f>
        <v>12/</v>
      </c>
      <c r="I86" s="177" t="s">
        <v>1747</v>
      </c>
      <c r="J86" s="177" t="s">
        <v>1747</v>
      </c>
      <c r="K86" s="155">
        <f t="shared" ref="K86" si="74">P86-1</f>
        <v>-1</v>
      </c>
      <c r="N86" s="186">
        <f t="shared" ref="N86" si="75">DAY(P86)</f>
        <v>0</v>
      </c>
      <c r="O86" s="186">
        <f t="shared" ref="O86" si="76">MONTH(P86)</f>
        <v>1</v>
      </c>
      <c r="P86" s="155"/>
      <c r="R86" s="186" t="s">
        <v>873</v>
      </c>
      <c r="S86" s="165"/>
      <c r="V86" s="165"/>
    </row>
    <row r="87" spans="1:22" s="186" customFormat="1">
      <c r="A87" s="186">
        <f t="shared" si="65"/>
        <v>12</v>
      </c>
      <c r="D87" s="140"/>
      <c r="E87" s="141" t="s">
        <v>1829</v>
      </c>
      <c r="F87" s="141" t="s">
        <v>1756</v>
      </c>
      <c r="G87" s="154" t="str">
        <f t="shared" si="53"/>
        <v>12/</v>
      </c>
      <c r="H87" s="141" t="str">
        <f t="shared" si="54"/>
        <v>12/</v>
      </c>
      <c r="I87" s="177" t="s">
        <v>1747</v>
      </c>
      <c r="J87" s="177" t="s">
        <v>1747</v>
      </c>
      <c r="K87" s="155">
        <f t="shared" si="55"/>
        <v>-1</v>
      </c>
      <c r="N87" s="186">
        <f t="shared" si="70"/>
        <v>0</v>
      </c>
      <c r="O87" s="186">
        <f t="shared" si="71"/>
        <v>1</v>
      </c>
      <c r="P87" s="155"/>
      <c r="R87" s="186" t="s">
        <v>873</v>
      </c>
      <c r="S87" s="165"/>
      <c r="V87" s="165"/>
    </row>
    <row r="88" spans="1:22" s="186" customFormat="1">
      <c r="A88" s="186">
        <f t="shared" si="65"/>
        <v>12</v>
      </c>
      <c r="D88" s="140"/>
      <c r="E88" s="141" t="s">
        <v>1829</v>
      </c>
      <c r="F88" s="141" t="s">
        <v>1756</v>
      </c>
      <c r="G88" s="154" t="str">
        <f t="shared" si="53"/>
        <v>12/</v>
      </c>
      <c r="H88" s="141" t="str">
        <f t="shared" si="54"/>
        <v>12/</v>
      </c>
      <c r="I88" s="177" t="s">
        <v>1747</v>
      </c>
      <c r="J88" s="177" t="s">
        <v>1747</v>
      </c>
      <c r="K88" s="155">
        <f t="shared" si="55"/>
        <v>-1</v>
      </c>
      <c r="N88" s="186">
        <f t="shared" si="70"/>
        <v>0</v>
      </c>
      <c r="O88" s="186">
        <f t="shared" si="71"/>
        <v>1</v>
      </c>
      <c r="P88" s="155"/>
      <c r="R88" s="186" t="s">
        <v>873</v>
      </c>
      <c r="S88" s="165"/>
      <c r="V88" s="165"/>
    </row>
    <row r="89" spans="1:22" s="186" customFormat="1">
      <c r="A89" s="186">
        <f t="shared" si="65"/>
        <v>12</v>
      </c>
      <c r="D89" s="140"/>
      <c r="E89" s="141" t="s">
        <v>1829</v>
      </c>
      <c r="F89" s="141" t="s">
        <v>1756</v>
      </c>
      <c r="G89" s="154" t="str">
        <f t="shared" si="53"/>
        <v>12/</v>
      </c>
      <c r="H89" s="141" t="str">
        <f t="shared" si="54"/>
        <v>12/</v>
      </c>
      <c r="I89" s="177" t="s">
        <v>1747</v>
      </c>
      <c r="J89" s="177" t="s">
        <v>1747</v>
      </c>
      <c r="K89" s="155">
        <f t="shared" si="55"/>
        <v>-1</v>
      </c>
      <c r="N89" s="186">
        <f t="shared" si="70"/>
        <v>0</v>
      </c>
      <c r="O89" s="186">
        <f t="shared" si="71"/>
        <v>1</v>
      </c>
      <c r="P89" s="155"/>
      <c r="R89" s="186" t="s">
        <v>873</v>
      </c>
      <c r="S89" s="165"/>
      <c r="V89" s="165"/>
    </row>
    <row r="90" spans="1:22" s="186" customFormat="1">
      <c r="A90" s="186">
        <f t="shared" si="65"/>
        <v>12</v>
      </c>
      <c r="D90" s="140"/>
      <c r="E90" s="141" t="s">
        <v>1829</v>
      </c>
      <c r="F90" s="141" t="s">
        <v>1756</v>
      </c>
      <c r="G90" s="154" t="str">
        <f t="shared" si="53"/>
        <v>12/</v>
      </c>
      <c r="H90" s="141" t="str">
        <f t="shared" si="54"/>
        <v>12/</v>
      </c>
      <c r="I90" s="177" t="s">
        <v>1747</v>
      </c>
      <c r="J90" s="177" t="s">
        <v>1747</v>
      </c>
      <c r="K90" s="155">
        <f t="shared" si="55"/>
        <v>-1</v>
      </c>
      <c r="N90" s="186">
        <f t="shared" si="70"/>
        <v>0</v>
      </c>
      <c r="O90" s="186">
        <f t="shared" si="71"/>
        <v>1</v>
      </c>
      <c r="P90" s="155"/>
      <c r="R90" s="186" t="s">
        <v>873</v>
      </c>
      <c r="S90" s="165"/>
      <c r="V90" s="165"/>
    </row>
    <row r="91" spans="1:22" s="186" customFormat="1">
      <c r="A91" s="186">
        <f t="shared" si="65"/>
        <v>12</v>
      </c>
      <c r="D91" s="140"/>
      <c r="E91" s="141" t="s">
        <v>1829</v>
      </c>
      <c r="F91" s="141" t="s">
        <v>1756</v>
      </c>
      <c r="G91" s="154" t="str">
        <f t="shared" si="53"/>
        <v>12/</v>
      </c>
      <c r="H91" s="141" t="str">
        <f t="shared" si="54"/>
        <v>12/</v>
      </c>
      <c r="I91" s="177" t="s">
        <v>1747</v>
      </c>
      <c r="J91" s="177" t="s">
        <v>1747</v>
      </c>
      <c r="K91" s="155">
        <f t="shared" si="55"/>
        <v>-1</v>
      </c>
      <c r="N91" s="186">
        <f t="shared" si="70"/>
        <v>0</v>
      </c>
      <c r="O91" s="186">
        <f t="shared" si="71"/>
        <v>1</v>
      </c>
      <c r="P91" s="155"/>
      <c r="R91" s="186" t="s">
        <v>873</v>
      </c>
      <c r="S91" s="165"/>
      <c r="V91" s="165"/>
    </row>
    <row r="92" spans="1:22" s="186" customFormat="1">
      <c r="A92" s="186">
        <f t="shared" si="65"/>
        <v>12</v>
      </c>
      <c r="D92" s="140"/>
      <c r="E92" s="141" t="s">
        <v>1829</v>
      </c>
      <c r="F92" s="141" t="s">
        <v>1756</v>
      </c>
      <c r="G92" s="154" t="str">
        <f t="shared" si="53"/>
        <v>12/</v>
      </c>
      <c r="H92" s="141" t="str">
        <f t="shared" si="54"/>
        <v>12/</v>
      </c>
      <c r="I92" s="177" t="s">
        <v>1747</v>
      </c>
      <c r="J92" s="177" t="s">
        <v>1747</v>
      </c>
      <c r="K92" s="155">
        <f t="shared" si="55"/>
        <v>-1</v>
      </c>
      <c r="N92" s="186">
        <f t="shared" si="70"/>
        <v>0</v>
      </c>
      <c r="O92" s="186">
        <f t="shared" si="71"/>
        <v>1</v>
      </c>
      <c r="P92" s="155"/>
      <c r="R92" s="186" t="s">
        <v>873</v>
      </c>
      <c r="S92" s="165"/>
      <c r="V92" s="165"/>
    </row>
    <row r="93" spans="1:22" s="186" customFormat="1">
      <c r="A93" s="186">
        <f t="shared" si="65"/>
        <v>12</v>
      </c>
      <c r="D93" s="140"/>
      <c r="E93" s="141" t="s">
        <v>1829</v>
      </c>
      <c r="F93" s="141" t="s">
        <v>1756</v>
      </c>
      <c r="G93" s="154" t="str">
        <f t="shared" si="53"/>
        <v>12/</v>
      </c>
      <c r="H93" s="141" t="str">
        <f t="shared" si="54"/>
        <v>12/</v>
      </c>
      <c r="I93" s="177" t="s">
        <v>1747</v>
      </c>
      <c r="J93" s="177" t="s">
        <v>1747</v>
      </c>
      <c r="K93" s="155">
        <f t="shared" si="55"/>
        <v>-1</v>
      </c>
      <c r="N93" s="186">
        <f t="shared" si="70"/>
        <v>0</v>
      </c>
      <c r="O93" s="186">
        <f t="shared" si="71"/>
        <v>1</v>
      </c>
      <c r="P93" s="155"/>
      <c r="R93" s="186" t="s">
        <v>873</v>
      </c>
      <c r="S93" s="165"/>
      <c r="V93" s="165"/>
    </row>
    <row r="94" spans="1:22" s="186" customFormat="1">
      <c r="A94" s="186">
        <f t="shared" si="65"/>
        <v>12</v>
      </c>
      <c r="D94" s="140"/>
      <c r="E94" s="141" t="s">
        <v>1829</v>
      </c>
      <c r="F94" s="141" t="s">
        <v>1756</v>
      </c>
      <c r="G94" s="154" t="str">
        <f t="shared" si="53"/>
        <v>12/</v>
      </c>
      <c r="H94" s="141" t="str">
        <f t="shared" si="54"/>
        <v>12/</v>
      </c>
      <c r="I94" s="177" t="s">
        <v>1747</v>
      </c>
      <c r="J94" s="177" t="s">
        <v>1747</v>
      </c>
      <c r="K94" s="155">
        <f t="shared" si="55"/>
        <v>-1</v>
      </c>
      <c r="N94" s="186">
        <f t="shared" si="70"/>
        <v>0</v>
      </c>
      <c r="O94" s="186">
        <f t="shared" si="71"/>
        <v>1</v>
      </c>
      <c r="P94" s="155"/>
      <c r="R94" s="186" t="s">
        <v>873</v>
      </c>
      <c r="S94" s="165"/>
      <c r="V94" s="165"/>
    </row>
    <row r="95" spans="1:22" s="186" customFormat="1">
      <c r="A95" s="186">
        <f t="shared" si="65"/>
        <v>12</v>
      </c>
      <c r="D95" s="140"/>
      <c r="E95" s="141" t="s">
        <v>1829</v>
      </c>
      <c r="F95" s="141" t="s">
        <v>1756</v>
      </c>
      <c r="G95" s="154" t="str">
        <f t="shared" si="53"/>
        <v>12/</v>
      </c>
      <c r="H95" s="141" t="str">
        <f t="shared" si="54"/>
        <v>12/</v>
      </c>
      <c r="I95" s="177" t="s">
        <v>1747</v>
      </c>
      <c r="J95" s="177" t="s">
        <v>1747</v>
      </c>
      <c r="K95" s="155">
        <f t="shared" si="55"/>
        <v>-1</v>
      </c>
      <c r="N95" s="186">
        <f t="shared" si="70"/>
        <v>0</v>
      </c>
      <c r="O95" s="186">
        <f t="shared" si="71"/>
        <v>1</v>
      </c>
      <c r="P95" s="155"/>
      <c r="R95" s="186" t="s">
        <v>873</v>
      </c>
      <c r="S95" s="165"/>
      <c r="V95" s="165"/>
    </row>
    <row r="96" spans="1:22" s="186" customFormat="1">
      <c r="A96" s="186">
        <f t="shared" si="65"/>
        <v>12</v>
      </c>
      <c r="D96" s="140"/>
      <c r="E96" s="141" t="s">
        <v>1829</v>
      </c>
      <c r="F96" s="141" t="s">
        <v>1756</v>
      </c>
      <c r="G96" s="154" t="str">
        <f t="shared" si="53"/>
        <v>12/</v>
      </c>
      <c r="H96" s="141" t="str">
        <f t="shared" si="54"/>
        <v>12/</v>
      </c>
      <c r="I96" s="177" t="s">
        <v>1747</v>
      </c>
      <c r="J96" s="177" t="s">
        <v>1747</v>
      </c>
      <c r="K96" s="155">
        <f t="shared" si="55"/>
        <v>-1</v>
      </c>
      <c r="N96" s="186">
        <f t="shared" si="70"/>
        <v>0</v>
      </c>
      <c r="O96" s="186">
        <f t="shared" si="71"/>
        <v>1</v>
      </c>
      <c r="P96" s="155"/>
      <c r="R96" s="186" t="s">
        <v>873</v>
      </c>
      <c r="S96" s="165"/>
      <c r="V96" s="165"/>
    </row>
    <row r="97" spans="1:22" s="186" customFormat="1">
      <c r="A97" s="186">
        <f t="shared" si="65"/>
        <v>12</v>
      </c>
      <c r="D97" s="140"/>
      <c r="E97" s="141" t="s">
        <v>1829</v>
      </c>
      <c r="F97" s="141" t="s">
        <v>1756</v>
      </c>
      <c r="G97" s="154" t="str">
        <f t="shared" ref="G97" si="77">A97&amp;"/"&amp;B97</f>
        <v>12/</v>
      </c>
      <c r="H97" s="141" t="str">
        <f t="shared" ref="H97" si="78">A97&amp;"/"&amp;B97</f>
        <v>12/</v>
      </c>
      <c r="I97" s="177" t="s">
        <v>1747</v>
      </c>
      <c r="J97" s="177" t="s">
        <v>1747</v>
      </c>
      <c r="K97" s="155">
        <f t="shared" ref="K97" si="79">P97-1</f>
        <v>-1</v>
      </c>
      <c r="N97" s="186">
        <f t="shared" ref="N97" si="80">DAY(P97)</f>
        <v>0</v>
      </c>
      <c r="O97" s="186">
        <f t="shared" ref="O97" si="81">MONTH(P97)</f>
        <v>1</v>
      </c>
      <c r="P97" s="155"/>
      <c r="R97" s="186" t="s">
        <v>873</v>
      </c>
      <c r="S97" s="165"/>
      <c r="V97" s="165"/>
    </row>
    <row r="98" spans="1:22" s="186" customFormat="1">
      <c r="A98" s="186">
        <f t="shared" si="65"/>
        <v>12</v>
      </c>
      <c r="D98" s="140"/>
      <c r="E98" s="141" t="s">
        <v>1829</v>
      </c>
      <c r="F98" s="141" t="s">
        <v>1756</v>
      </c>
      <c r="G98" s="154" t="str">
        <f t="shared" si="53"/>
        <v>12/</v>
      </c>
      <c r="H98" s="141" t="str">
        <f t="shared" si="54"/>
        <v>12/</v>
      </c>
      <c r="I98" s="177" t="s">
        <v>1747</v>
      </c>
      <c r="J98" s="177" t="s">
        <v>1747</v>
      </c>
      <c r="K98" s="155">
        <f t="shared" si="55"/>
        <v>-1</v>
      </c>
      <c r="N98" s="186">
        <f t="shared" si="70"/>
        <v>0</v>
      </c>
      <c r="O98" s="186">
        <f t="shared" si="71"/>
        <v>1</v>
      </c>
      <c r="P98" s="155"/>
      <c r="R98" s="186" t="s">
        <v>873</v>
      </c>
      <c r="S98" s="165"/>
      <c r="V98" s="165"/>
    </row>
    <row r="99" spans="1:22" s="186" customFormat="1">
      <c r="A99" s="186">
        <f t="shared" si="65"/>
        <v>12</v>
      </c>
      <c r="D99" s="140"/>
      <c r="E99" s="141" t="s">
        <v>1829</v>
      </c>
      <c r="F99" s="141" t="s">
        <v>1756</v>
      </c>
      <c r="G99" s="154" t="str">
        <f t="shared" si="53"/>
        <v>12/</v>
      </c>
      <c r="H99" s="141" t="str">
        <f t="shared" si="54"/>
        <v>12/</v>
      </c>
      <c r="I99" s="177" t="s">
        <v>1747</v>
      </c>
      <c r="J99" s="177" t="s">
        <v>1747</v>
      </c>
      <c r="K99" s="155">
        <f t="shared" si="55"/>
        <v>-1</v>
      </c>
      <c r="N99" s="186">
        <f t="shared" si="70"/>
        <v>0</v>
      </c>
      <c r="O99" s="186">
        <f t="shared" si="71"/>
        <v>1</v>
      </c>
      <c r="P99" s="155"/>
      <c r="R99" s="186" t="s">
        <v>873</v>
      </c>
      <c r="S99" s="165"/>
      <c r="V99" s="165"/>
    </row>
    <row r="100" spans="1:22" s="186" customFormat="1">
      <c r="A100" s="186">
        <f t="shared" si="65"/>
        <v>12</v>
      </c>
      <c r="D100" s="140"/>
      <c r="E100" s="141" t="s">
        <v>1829</v>
      </c>
      <c r="F100" s="141" t="s">
        <v>1756</v>
      </c>
      <c r="G100" s="154" t="str">
        <f t="shared" si="53"/>
        <v>12/</v>
      </c>
      <c r="H100" s="141" t="str">
        <f t="shared" si="54"/>
        <v>12/</v>
      </c>
      <c r="I100" s="177" t="s">
        <v>1747</v>
      </c>
      <c r="J100" s="177" t="s">
        <v>1747</v>
      </c>
      <c r="K100" s="155">
        <f t="shared" si="55"/>
        <v>-1</v>
      </c>
      <c r="N100" s="186">
        <f t="shared" si="70"/>
        <v>0</v>
      </c>
      <c r="O100" s="186">
        <f t="shared" si="71"/>
        <v>1</v>
      </c>
      <c r="P100" s="155"/>
      <c r="R100" s="186" t="s">
        <v>873</v>
      </c>
      <c r="S100" s="165"/>
      <c r="V100" s="165"/>
    </row>
    <row r="101" spans="1:22" s="186" customFormat="1">
      <c r="A101" s="186">
        <f t="shared" si="65"/>
        <v>12</v>
      </c>
      <c r="D101" s="140"/>
      <c r="E101" s="141" t="s">
        <v>1829</v>
      </c>
      <c r="F101" s="141" t="s">
        <v>1756</v>
      </c>
      <c r="G101" s="154" t="str">
        <f t="shared" si="53"/>
        <v>12/</v>
      </c>
      <c r="H101" s="141" t="str">
        <f t="shared" si="54"/>
        <v>12/</v>
      </c>
      <c r="I101" s="177" t="s">
        <v>1747</v>
      </c>
      <c r="J101" s="177" t="s">
        <v>1747</v>
      </c>
      <c r="K101" s="155">
        <f t="shared" si="55"/>
        <v>-1</v>
      </c>
      <c r="N101" s="186">
        <f t="shared" si="70"/>
        <v>0</v>
      </c>
      <c r="O101" s="186">
        <f t="shared" si="71"/>
        <v>1</v>
      </c>
      <c r="P101" s="155"/>
      <c r="R101" s="186" t="s">
        <v>873</v>
      </c>
      <c r="S101" s="165"/>
      <c r="V101" s="165"/>
    </row>
    <row r="102" spans="1:22" s="186" customFormat="1">
      <c r="A102" s="186">
        <f t="shared" si="65"/>
        <v>12</v>
      </c>
      <c r="D102" s="140"/>
      <c r="E102" s="141" t="s">
        <v>1829</v>
      </c>
      <c r="F102" s="141" t="s">
        <v>1756</v>
      </c>
      <c r="G102" s="154" t="str">
        <f t="shared" si="53"/>
        <v>12/</v>
      </c>
      <c r="H102" s="141" t="str">
        <f t="shared" si="54"/>
        <v>12/</v>
      </c>
      <c r="I102" s="177" t="s">
        <v>1747</v>
      </c>
      <c r="J102" s="177" t="s">
        <v>1747</v>
      </c>
      <c r="K102" s="155">
        <f t="shared" si="55"/>
        <v>-1</v>
      </c>
      <c r="N102" s="186">
        <f t="shared" si="70"/>
        <v>0</v>
      </c>
      <c r="O102" s="186">
        <f t="shared" si="71"/>
        <v>1</v>
      </c>
      <c r="P102" s="155"/>
      <c r="R102" s="186" t="s">
        <v>873</v>
      </c>
      <c r="S102" s="165"/>
      <c r="V102" s="165"/>
    </row>
    <row r="103" spans="1:22" s="186" customFormat="1">
      <c r="A103" s="186">
        <f t="shared" si="65"/>
        <v>12</v>
      </c>
      <c r="D103" s="140"/>
      <c r="E103" s="141" t="s">
        <v>1829</v>
      </c>
      <c r="F103" s="141" t="s">
        <v>1756</v>
      </c>
      <c r="G103" s="154" t="str">
        <f t="shared" si="53"/>
        <v>12/</v>
      </c>
      <c r="H103" s="141" t="str">
        <f t="shared" si="54"/>
        <v>12/</v>
      </c>
      <c r="I103" s="177" t="s">
        <v>1747</v>
      </c>
      <c r="J103" s="177" t="s">
        <v>1747</v>
      </c>
      <c r="K103" s="155">
        <f t="shared" si="55"/>
        <v>-1</v>
      </c>
      <c r="N103" s="186">
        <f t="shared" si="70"/>
        <v>0</v>
      </c>
      <c r="O103" s="186">
        <f t="shared" si="71"/>
        <v>1</v>
      </c>
      <c r="P103" s="155"/>
      <c r="R103" s="186" t="s">
        <v>873</v>
      </c>
    </row>
    <row r="104" spans="1:22" s="186" customFormat="1">
      <c r="A104" s="186">
        <f t="shared" si="65"/>
        <v>12</v>
      </c>
      <c r="D104" s="140"/>
      <c r="E104" s="141" t="s">
        <v>1829</v>
      </c>
      <c r="F104" s="141" t="s">
        <v>1756</v>
      </c>
      <c r="G104" s="154" t="str">
        <f t="shared" si="53"/>
        <v>12/</v>
      </c>
      <c r="H104" s="141" t="str">
        <f t="shared" si="54"/>
        <v>12/</v>
      </c>
      <c r="I104" s="177" t="s">
        <v>1747</v>
      </c>
      <c r="J104" s="177" t="s">
        <v>1747</v>
      </c>
      <c r="K104" s="155">
        <f t="shared" si="55"/>
        <v>-1</v>
      </c>
      <c r="N104" s="186">
        <f t="shared" si="70"/>
        <v>0</v>
      </c>
      <c r="O104" s="186">
        <f t="shared" si="71"/>
        <v>1</v>
      </c>
      <c r="P104" s="155"/>
      <c r="R104" s="186" t="s">
        <v>873</v>
      </c>
    </row>
    <row r="105" spans="1:22" s="186" customFormat="1">
      <c r="A105" s="186">
        <f t="shared" si="65"/>
        <v>12</v>
      </c>
      <c r="D105" s="140"/>
      <c r="E105" s="141" t="s">
        <v>1829</v>
      </c>
      <c r="F105" s="141" t="s">
        <v>1756</v>
      </c>
      <c r="G105" s="154" t="str">
        <f t="shared" si="53"/>
        <v>12/</v>
      </c>
      <c r="H105" s="141" t="str">
        <f t="shared" si="54"/>
        <v>12/</v>
      </c>
      <c r="I105" s="177" t="s">
        <v>1747</v>
      </c>
      <c r="J105" s="177" t="s">
        <v>1747</v>
      </c>
      <c r="K105" s="155">
        <f t="shared" si="55"/>
        <v>-1</v>
      </c>
      <c r="N105" s="186">
        <f t="shared" si="70"/>
        <v>0</v>
      </c>
      <c r="O105" s="186">
        <f t="shared" si="71"/>
        <v>1</v>
      </c>
      <c r="P105" s="155"/>
      <c r="R105" s="186" t="s">
        <v>873</v>
      </c>
    </row>
    <row r="106" spans="1:22" s="186" customFormat="1">
      <c r="A106" s="186">
        <f t="shared" si="65"/>
        <v>12</v>
      </c>
      <c r="D106" s="140"/>
      <c r="E106" s="141" t="s">
        <v>1829</v>
      </c>
      <c r="F106" s="141" t="s">
        <v>1756</v>
      </c>
      <c r="G106" s="154" t="str">
        <f t="shared" si="53"/>
        <v>12/</v>
      </c>
      <c r="H106" s="141" t="str">
        <f t="shared" si="54"/>
        <v>12/</v>
      </c>
      <c r="I106" s="177" t="s">
        <v>1747</v>
      </c>
      <c r="J106" s="177" t="s">
        <v>1747</v>
      </c>
      <c r="K106" s="155">
        <f t="shared" si="55"/>
        <v>-1</v>
      </c>
      <c r="N106" s="186">
        <f t="shared" si="70"/>
        <v>0</v>
      </c>
      <c r="O106" s="186">
        <f t="shared" si="71"/>
        <v>1</v>
      </c>
      <c r="P106" s="155"/>
      <c r="R106" s="186" t="s">
        <v>873</v>
      </c>
    </row>
    <row r="107" spans="1:22" s="186" customFormat="1">
      <c r="A107" s="186">
        <f t="shared" si="65"/>
        <v>12</v>
      </c>
      <c r="D107" s="140"/>
      <c r="E107" s="141" t="s">
        <v>1829</v>
      </c>
      <c r="F107" s="141" t="s">
        <v>1756</v>
      </c>
      <c r="G107" s="154" t="str">
        <f t="shared" si="53"/>
        <v>12/</v>
      </c>
      <c r="H107" s="141" t="str">
        <f t="shared" si="54"/>
        <v>12/</v>
      </c>
      <c r="I107" s="177" t="s">
        <v>1747</v>
      </c>
      <c r="J107" s="177" t="s">
        <v>1747</v>
      </c>
      <c r="K107" s="155">
        <f t="shared" si="55"/>
        <v>-1</v>
      </c>
      <c r="N107" s="186">
        <f t="shared" si="70"/>
        <v>0</v>
      </c>
      <c r="O107" s="186">
        <f t="shared" si="71"/>
        <v>1</v>
      </c>
      <c r="P107" s="155"/>
      <c r="R107" s="186" t="s">
        <v>873</v>
      </c>
    </row>
    <row r="108" spans="1:22" s="186" customFormat="1">
      <c r="A108" s="186">
        <f t="shared" si="65"/>
        <v>12</v>
      </c>
      <c r="D108" s="140"/>
      <c r="E108" s="141" t="s">
        <v>1829</v>
      </c>
      <c r="F108" s="141" t="s">
        <v>1756</v>
      </c>
      <c r="G108" s="154" t="str">
        <f t="shared" si="53"/>
        <v>12/</v>
      </c>
      <c r="H108" s="141" t="str">
        <f t="shared" si="54"/>
        <v>12/</v>
      </c>
      <c r="I108" s="177" t="s">
        <v>1747</v>
      </c>
      <c r="J108" s="177" t="s">
        <v>1747</v>
      </c>
      <c r="K108" s="155">
        <f t="shared" si="55"/>
        <v>-1</v>
      </c>
      <c r="N108" s="186">
        <f t="shared" si="70"/>
        <v>0</v>
      </c>
      <c r="O108" s="186">
        <f t="shared" si="71"/>
        <v>1</v>
      </c>
      <c r="P108" s="155"/>
      <c r="R108" s="186" t="s">
        <v>873</v>
      </c>
    </row>
    <row r="109" spans="1:22" s="186" customFormat="1">
      <c r="A109" s="186">
        <f t="shared" si="65"/>
        <v>12</v>
      </c>
      <c r="D109" s="140"/>
      <c r="E109" s="141" t="s">
        <v>1829</v>
      </c>
      <c r="F109" s="141" t="s">
        <v>1756</v>
      </c>
      <c r="G109" s="154" t="str">
        <f t="shared" si="53"/>
        <v>12/</v>
      </c>
      <c r="H109" s="141" t="str">
        <f t="shared" si="54"/>
        <v>12/</v>
      </c>
      <c r="I109" s="177" t="s">
        <v>1747</v>
      </c>
      <c r="J109" s="177" t="s">
        <v>1747</v>
      </c>
      <c r="K109" s="155">
        <f t="shared" si="55"/>
        <v>-1</v>
      </c>
      <c r="N109" s="186">
        <f t="shared" si="70"/>
        <v>0</v>
      </c>
      <c r="O109" s="186">
        <f t="shared" si="71"/>
        <v>1</v>
      </c>
      <c r="P109" s="155"/>
      <c r="R109" s="186" t="s">
        <v>873</v>
      </c>
    </row>
    <row r="110" spans="1:22" s="186" customFormat="1">
      <c r="A110" s="186">
        <f t="shared" si="65"/>
        <v>12</v>
      </c>
      <c r="D110" s="140"/>
      <c r="E110" s="141" t="s">
        <v>1829</v>
      </c>
      <c r="F110" s="141" t="s">
        <v>1756</v>
      </c>
      <c r="G110" s="154" t="str">
        <f t="shared" si="53"/>
        <v>12/</v>
      </c>
      <c r="H110" s="141" t="str">
        <f t="shared" si="54"/>
        <v>12/</v>
      </c>
      <c r="I110" s="177" t="s">
        <v>1747</v>
      </c>
      <c r="J110" s="177" t="s">
        <v>1747</v>
      </c>
      <c r="K110" s="155">
        <f t="shared" si="55"/>
        <v>-1</v>
      </c>
      <c r="N110" s="186">
        <f t="shared" si="70"/>
        <v>0</v>
      </c>
      <c r="O110" s="186">
        <f t="shared" si="71"/>
        <v>1</v>
      </c>
      <c r="P110" s="155"/>
      <c r="R110" s="186" t="s">
        <v>873</v>
      </c>
    </row>
    <row r="111" spans="1:22" s="186" customFormat="1">
      <c r="A111" s="186">
        <f t="shared" si="65"/>
        <v>12</v>
      </c>
      <c r="D111" s="140"/>
      <c r="E111" s="141" t="s">
        <v>1829</v>
      </c>
      <c r="F111" s="141" t="s">
        <v>1756</v>
      </c>
      <c r="G111" s="154" t="str">
        <f t="shared" si="53"/>
        <v>12/</v>
      </c>
      <c r="H111" s="141" t="str">
        <f t="shared" si="54"/>
        <v>12/</v>
      </c>
      <c r="I111" s="177" t="s">
        <v>1747</v>
      </c>
      <c r="J111" s="177" t="s">
        <v>1747</v>
      </c>
      <c r="K111" s="155">
        <f t="shared" si="55"/>
        <v>-1</v>
      </c>
      <c r="N111" s="186">
        <f t="shared" si="70"/>
        <v>0</v>
      </c>
      <c r="O111" s="186">
        <f t="shared" si="71"/>
        <v>1</v>
      </c>
      <c r="P111" s="155"/>
      <c r="R111" s="186" t="s">
        <v>873</v>
      </c>
    </row>
    <row r="112" spans="1:22" s="186" customFormat="1">
      <c r="A112" s="186">
        <f t="shared" si="65"/>
        <v>12</v>
      </c>
      <c r="D112" s="140"/>
      <c r="E112" s="141" t="s">
        <v>1829</v>
      </c>
      <c r="F112" s="141" t="s">
        <v>1756</v>
      </c>
      <c r="G112" s="154" t="str">
        <f t="shared" si="53"/>
        <v>12/</v>
      </c>
      <c r="H112" s="141" t="str">
        <f t="shared" si="54"/>
        <v>12/</v>
      </c>
      <c r="I112" s="177" t="s">
        <v>1747</v>
      </c>
      <c r="J112" s="177" t="s">
        <v>1747</v>
      </c>
      <c r="K112" s="155">
        <f t="shared" si="55"/>
        <v>-1</v>
      </c>
      <c r="N112" s="186">
        <f t="shared" si="70"/>
        <v>0</v>
      </c>
      <c r="O112" s="186">
        <f t="shared" si="71"/>
        <v>1</v>
      </c>
      <c r="P112" s="155"/>
      <c r="R112" s="186" t="s">
        <v>873</v>
      </c>
    </row>
    <row r="113" spans="1:18" s="186" customFormat="1">
      <c r="A113" s="186">
        <f t="shared" si="65"/>
        <v>12</v>
      </c>
      <c r="D113" s="140"/>
      <c r="E113" s="141" t="s">
        <v>1829</v>
      </c>
      <c r="F113" s="141" t="s">
        <v>1756</v>
      </c>
      <c r="G113" s="154" t="str">
        <f t="shared" si="53"/>
        <v>12/</v>
      </c>
      <c r="H113" s="141" t="str">
        <f t="shared" si="54"/>
        <v>12/</v>
      </c>
      <c r="I113" s="177" t="s">
        <v>1747</v>
      </c>
      <c r="J113" s="177" t="s">
        <v>1747</v>
      </c>
      <c r="K113" s="155">
        <f t="shared" si="55"/>
        <v>-1</v>
      </c>
      <c r="N113" s="186">
        <f t="shared" si="70"/>
        <v>0</v>
      </c>
      <c r="O113" s="186">
        <f t="shared" si="71"/>
        <v>1</v>
      </c>
      <c r="P113" s="155"/>
      <c r="R113" s="186" t="s">
        <v>873</v>
      </c>
    </row>
    <row r="114" spans="1:18" s="186" customFormat="1">
      <c r="A114" s="186">
        <f t="shared" si="65"/>
        <v>12</v>
      </c>
      <c r="D114" s="140"/>
      <c r="E114" s="141" t="s">
        <v>1829</v>
      </c>
      <c r="F114" s="141" t="s">
        <v>1756</v>
      </c>
      <c r="G114" s="154" t="str">
        <f t="shared" si="53"/>
        <v>12/</v>
      </c>
      <c r="H114" s="141" t="str">
        <f t="shared" si="54"/>
        <v>12/</v>
      </c>
      <c r="I114" s="177" t="s">
        <v>1747</v>
      </c>
      <c r="J114" s="177" t="s">
        <v>1747</v>
      </c>
      <c r="K114" s="155">
        <f t="shared" si="55"/>
        <v>-1</v>
      </c>
      <c r="N114" s="186">
        <f t="shared" si="70"/>
        <v>0</v>
      </c>
      <c r="O114" s="186">
        <f t="shared" si="71"/>
        <v>1</v>
      </c>
      <c r="P114" s="155"/>
      <c r="R114" s="186" t="s">
        <v>873</v>
      </c>
    </row>
    <row r="115" spans="1:18" s="186" customFormat="1">
      <c r="A115" s="186">
        <f t="shared" si="65"/>
        <v>12</v>
      </c>
      <c r="D115" s="140"/>
      <c r="E115" s="141" t="s">
        <v>1829</v>
      </c>
      <c r="F115" s="141" t="s">
        <v>1756</v>
      </c>
      <c r="G115" s="154" t="str">
        <f t="shared" si="53"/>
        <v>12/</v>
      </c>
      <c r="H115" s="141" t="str">
        <f t="shared" si="54"/>
        <v>12/</v>
      </c>
      <c r="I115" s="177" t="s">
        <v>1747</v>
      </c>
      <c r="J115" s="177" t="s">
        <v>1747</v>
      </c>
      <c r="K115" s="155">
        <f t="shared" si="55"/>
        <v>-1</v>
      </c>
      <c r="N115" s="186">
        <f t="shared" ref="N115:N178" si="82">DAY(P115)</f>
        <v>0</v>
      </c>
      <c r="O115" s="186">
        <f t="shared" ref="O115:O178" si="83">MONTH(P115)</f>
        <v>1</v>
      </c>
      <c r="P115" s="155"/>
      <c r="R115" s="186" t="s">
        <v>873</v>
      </c>
    </row>
    <row r="116" spans="1:18" s="186" customFormat="1">
      <c r="A116" s="186">
        <f t="shared" si="65"/>
        <v>12</v>
      </c>
      <c r="D116" s="140"/>
      <c r="E116" s="141" t="s">
        <v>1829</v>
      </c>
      <c r="F116" s="141" t="s">
        <v>1756</v>
      </c>
      <c r="G116" s="154" t="str">
        <f t="shared" si="53"/>
        <v>12/</v>
      </c>
      <c r="H116" s="141" t="str">
        <f t="shared" si="54"/>
        <v>12/</v>
      </c>
      <c r="I116" s="177" t="s">
        <v>1747</v>
      </c>
      <c r="J116" s="177" t="s">
        <v>1747</v>
      </c>
      <c r="K116" s="155">
        <f t="shared" si="55"/>
        <v>-1</v>
      </c>
      <c r="N116" s="186">
        <f t="shared" si="82"/>
        <v>0</v>
      </c>
      <c r="O116" s="186">
        <f t="shared" si="83"/>
        <v>1</v>
      </c>
      <c r="P116" s="155"/>
      <c r="R116" s="186" t="s">
        <v>873</v>
      </c>
    </row>
    <row r="117" spans="1:18" s="186" customFormat="1">
      <c r="A117" s="186">
        <f t="shared" si="65"/>
        <v>12</v>
      </c>
      <c r="D117" s="140"/>
      <c r="E117" s="141" t="s">
        <v>1829</v>
      </c>
      <c r="F117" s="141" t="s">
        <v>1756</v>
      </c>
      <c r="G117" s="154" t="str">
        <f t="shared" si="53"/>
        <v>12/</v>
      </c>
      <c r="H117" s="141" t="str">
        <f t="shared" si="54"/>
        <v>12/</v>
      </c>
      <c r="I117" s="177" t="s">
        <v>1747</v>
      </c>
      <c r="J117" s="177" t="s">
        <v>1747</v>
      </c>
      <c r="K117" s="155">
        <f t="shared" si="55"/>
        <v>-1</v>
      </c>
      <c r="N117" s="186">
        <f t="shared" si="82"/>
        <v>0</v>
      </c>
      <c r="O117" s="186">
        <f t="shared" si="83"/>
        <v>1</v>
      </c>
      <c r="P117" s="155"/>
      <c r="R117" s="186" t="s">
        <v>873</v>
      </c>
    </row>
    <row r="118" spans="1:18" s="186" customFormat="1">
      <c r="A118" s="186">
        <f t="shared" si="65"/>
        <v>12</v>
      </c>
      <c r="D118" s="140"/>
      <c r="E118" s="141" t="s">
        <v>1829</v>
      </c>
      <c r="F118" s="141" t="s">
        <v>1756</v>
      </c>
      <c r="G118" s="154" t="str">
        <f t="shared" si="53"/>
        <v>12/</v>
      </c>
      <c r="H118" s="141" t="str">
        <f t="shared" si="54"/>
        <v>12/</v>
      </c>
      <c r="I118" s="177" t="s">
        <v>1747</v>
      </c>
      <c r="J118" s="177" t="s">
        <v>1747</v>
      </c>
      <c r="K118" s="155">
        <f t="shared" si="55"/>
        <v>-1</v>
      </c>
      <c r="N118" s="186">
        <f t="shared" si="82"/>
        <v>0</v>
      </c>
      <c r="O118" s="186">
        <f t="shared" si="83"/>
        <v>1</v>
      </c>
      <c r="P118" s="155"/>
      <c r="R118" s="186" t="s">
        <v>873</v>
      </c>
    </row>
    <row r="119" spans="1:18" s="186" customFormat="1">
      <c r="A119" s="186">
        <f t="shared" si="65"/>
        <v>12</v>
      </c>
      <c r="D119" s="140"/>
      <c r="E119" s="141" t="s">
        <v>1829</v>
      </c>
      <c r="F119" s="141" t="s">
        <v>1756</v>
      </c>
      <c r="G119" s="154" t="str">
        <f t="shared" si="53"/>
        <v>12/</v>
      </c>
      <c r="H119" s="141" t="str">
        <f t="shared" si="54"/>
        <v>12/</v>
      </c>
      <c r="I119" s="177" t="s">
        <v>1747</v>
      </c>
      <c r="J119" s="177" t="s">
        <v>1747</v>
      </c>
      <c r="K119" s="155">
        <f t="shared" si="55"/>
        <v>-1</v>
      </c>
      <c r="N119" s="186">
        <f t="shared" si="82"/>
        <v>0</v>
      </c>
      <c r="O119" s="186">
        <f t="shared" si="83"/>
        <v>1</v>
      </c>
      <c r="P119" s="155"/>
      <c r="R119" s="186" t="s">
        <v>873</v>
      </c>
    </row>
    <row r="120" spans="1:18" s="186" customFormat="1">
      <c r="A120" s="186">
        <f t="shared" si="65"/>
        <v>12</v>
      </c>
      <c r="D120" s="140"/>
      <c r="E120" s="141" t="s">
        <v>1829</v>
      </c>
      <c r="F120" s="141" t="s">
        <v>1756</v>
      </c>
      <c r="G120" s="154" t="str">
        <f t="shared" si="53"/>
        <v>12/</v>
      </c>
      <c r="H120" s="141" t="str">
        <f t="shared" si="54"/>
        <v>12/</v>
      </c>
      <c r="I120" s="177" t="s">
        <v>1747</v>
      </c>
      <c r="J120" s="177" t="s">
        <v>1747</v>
      </c>
      <c r="K120" s="155">
        <f t="shared" si="55"/>
        <v>-1</v>
      </c>
      <c r="N120" s="186">
        <f t="shared" si="82"/>
        <v>0</v>
      </c>
      <c r="O120" s="186">
        <f t="shared" si="83"/>
        <v>1</v>
      </c>
      <c r="P120" s="155"/>
      <c r="R120" s="186" t="s">
        <v>873</v>
      </c>
    </row>
    <row r="121" spans="1:18" s="186" customFormat="1">
      <c r="A121" s="186">
        <f t="shared" si="65"/>
        <v>12</v>
      </c>
      <c r="D121" s="140"/>
      <c r="E121" s="141" t="s">
        <v>1829</v>
      </c>
      <c r="F121" s="141" t="s">
        <v>1756</v>
      </c>
      <c r="G121" s="154" t="str">
        <f t="shared" si="53"/>
        <v>12/</v>
      </c>
      <c r="H121" s="141" t="str">
        <f t="shared" si="54"/>
        <v>12/</v>
      </c>
      <c r="I121" s="177" t="s">
        <v>1747</v>
      </c>
      <c r="J121" s="177" t="s">
        <v>1747</v>
      </c>
      <c r="K121" s="155">
        <f t="shared" si="55"/>
        <v>-1</v>
      </c>
      <c r="N121" s="186">
        <f t="shared" si="82"/>
        <v>0</v>
      </c>
      <c r="O121" s="186">
        <f t="shared" si="83"/>
        <v>1</v>
      </c>
      <c r="P121" s="155"/>
      <c r="R121" s="186" t="s">
        <v>873</v>
      </c>
    </row>
    <row r="122" spans="1:18" s="186" customFormat="1">
      <c r="A122" s="186">
        <f t="shared" si="65"/>
        <v>12</v>
      </c>
      <c r="D122" s="140"/>
      <c r="E122" s="141" t="s">
        <v>1829</v>
      </c>
      <c r="F122" s="141" t="s">
        <v>1756</v>
      </c>
      <c r="G122" s="154" t="str">
        <f t="shared" si="53"/>
        <v>12/</v>
      </c>
      <c r="H122" s="141" t="str">
        <f t="shared" si="54"/>
        <v>12/</v>
      </c>
      <c r="I122" s="177" t="s">
        <v>1747</v>
      </c>
      <c r="J122" s="177" t="s">
        <v>1747</v>
      </c>
      <c r="K122" s="155">
        <f t="shared" ref="K122:K185" si="84">P122-1</f>
        <v>-1</v>
      </c>
      <c r="N122" s="186">
        <f t="shared" si="82"/>
        <v>0</v>
      </c>
      <c r="O122" s="186">
        <f t="shared" si="83"/>
        <v>1</v>
      </c>
      <c r="P122" s="155"/>
      <c r="R122" s="186" t="s">
        <v>873</v>
      </c>
    </row>
    <row r="123" spans="1:18" s="186" customFormat="1">
      <c r="A123" s="186">
        <f t="shared" si="65"/>
        <v>12</v>
      </c>
      <c r="D123" s="140"/>
      <c r="E123" s="141" t="s">
        <v>1829</v>
      </c>
      <c r="F123" s="141" t="s">
        <v>1756</v>
      </c>
      <c r="G123" s="154" t="str">
        <f t="shared" si="53"/>
        <v>12/</v>
      </c>
      <c r="H123" s="141" t="str">
        <f t="shared" si="54"/>
        <v>12/</v>
      </c>
      <c r="I123" s="177" t="s">
        <v>1747</v>
      </c>
      <c r="J123" s="177" t="s">
        <v>1747</v>
      </c>
      <c r="K123" s="155">
        <f t="shared" si="84"/>
        <v>-1</v>
      </c>
      <c r="N123" s="186">
        <f t="shared" si="82"/>
        <v>0</v>
      </c>
      <c r="O123" s="186">
        <f t="shared" si="83"/>
        <v>1</v>
      </c>
      <c r="P123" s="155"/>
      <c r="R123" s="186" t="s">
        <v>873</v>
      </c>
    </row>
    <row r="124" spans="1:18" s="186" customFormat="1">
      <c r="A124" s="186">
        <f t="shared" si="65"/>
        <v>12</v>
      </c>
      <c r="D124" s="140"/>
      <c r="E124" s="141" t="s">
        <v>1829</v>
      </c>
      <c r="F124" s="141" t="s">
        <v>1756</v>
      </c>
      <c r="G124" s="154" t="str">
        <f t="shared" si="53"/>
        <v>12/</v>
      </c>
      <c r="H124" s="141" t="str">
        <f t="shared" si="54"/>
        <v>12/</v>
      </c>
      <c r="I124" s="177" t="s">
        <v>1747</v>
      </c>
      <c r="J124" s="177" t="s">
        <v>1747</v>
      </c>
      <c r="K124" s="155">
        <f t="shared" si="84"/>
        <v>-1</v>
      </c>
      <c r="N124" s="186">
        <f t="shared" si="82"/>
        <v>0</v>
      </c>
      <c r="O124" s="186">
        <f t="shared" si="83"/>
        <v>1</v>
      </c>
      <c r="P124" s="155"/>
      <c r="R124" s="186" t="s">
        <v>873</v>
      </c>
    </row>
    <row r="125" spans="1:18" s="186" customFormat="1">
      <c r="A125" s="186">
        <f t="shared" si="65"/>
        <v>12</v>
      </c>
      <c r="D125" s="140"/>
      <c r="E125" s="141" t="s">
        <v>1829</v>
      </c>
      <c r="F125" s="141" t="s">
        <v>1756</v>
      </c>
      <c r="G125" s="154" t="str">
        <f t="shared" si="53"/>
        <v>12/</v>
      </c>
      <c r="H125" s="141" t="str">
        <f t="shared" si="54"/>
        <v>12/</v>
      </c>
      <c r="I125" s="177" t="s">
        <v>1747</v>
      </c>
      <c r="J125" s="177" t="s">
        <v>1747</v>
      </c>
      <c r="K125" s="155">
        <f t="shared" si="84"/>
        <v>-1</v>
      </c>
      <c r="N125" s="186">
        <f t="shared" si="82"/>
        <v>0</v>
      </c>
      <c r="O125" s="186">
        <f t="shared" si="83"/>
        <v>1</v>
      </c>
      <c r="P125" s="155"/>
      <c r="R125" s="186" t="s">
        <v>873</v>
      </c>
    </row>
    <row r="126" spans="1:18" s="186" customFormat="1">
      <c r="A126" s="186">
        <f t="shared" ref="A126:A162" si="85">A125</f>
        <v>12</v>
      </c>
      <c r="D126" s="140"/>
      <c r="E126" s="141" t="s">
        <v>1829</v>
      </c>
      <c r="F126" s="141" t="s">
        <v>1756</v>
      </c>
      <c r="G126" s="154" t="str">
        <f t="shared" si="53"/>
        <v>12/</v>
      </c>
      <c r="H126" s="141" t="str">
        <f t="shared" si="54"/>
        <v>12/</v>
      </c>
      <c r="I126" s="177" t="s">
        <v>1747</v>
      </c>
      <c r="J126" s="177" t="s">
        <v>1747</v>
      </c>
      <c r="K126" s="155">
        <f t="shared" si="84"/>
        <v>-1</v>
      </c>
      <c r="N126" s="186">
        <f t="shared" si="82"/>
        <v>0</v>
      </c>
      <c r="O126" s="186">
        <f t="shared" si="83"/>
        <v>1</v>
      </c>
      <c r="P126" s="155"/>
      <c r="R126" s="186" t="s">
        <v>873</v>
      </c>
    </row>
    <row r="127" spans="1:18" s="186" customFormat="1">
      <c r="A127" s="186">
        <f t="shared" si="85"/>
        <v>12</v>
      </c>
      <c r="D127" s="140"/>
      <c r="E127" s="141" t="s">
        <v>1829</v>
      </c>
      <c r="F127" s="141" t="s">
        <v>1756</v>
      </c>
      <c r="G127" s="154" t="str">
        <f t="shared" si="53"/>
        <v>12/</v>
      </c>
      <c r="H127" s="141" t="str">
        <f t="shared" si="54"/>
        <v>12/</v>
      </c>
      <c r="I127" s="177" t="s">
        <v>1747</v>
      </c>
      <c r="J127" s="177" t="s">
        <v>1747</v>
      </c>
      <c r="K127" s="155">
        <f t="shared" si="84"/>
        <v>-1</v>
      </c>
      <c r="N127" s="186">
        <f t="shared" si="82"/>
        <v>0</v>
      </c>
      <c r="O127" s="186">
        <f t="shared" si="83"/>
        <v>1</v>
      </c>
      <c r="P127" s="155"/>
      <c r="R127" s="186" t="s">
        <v>873</v>
      </c>
    </row>
    <row r="128" spans="1:18" s="186" customFormat="1">
      <c r="A128" s="186">
        <f t="shared" si="85"/>
        <v>12</v>
      </c>
      <c r="D128" s="140"/>
      <c r="E128" s="141" t="s">
        <v>1829</v>
      </c>
      <c r="F128" s="141" t="s">
        <v>1756</v>
      </c>
      <c r="G128" s="154" t="str">
        <f t="shared" si="53"/>
        <v>12/</v>
      </c>
      <c r="H128" s="141" t="str">
        <f t="shared" si="54"/>
        <v>12/</v>
      </c>
      <c r="I128" s="177" t="s">
        <v>1747</v>
      </c>
      <c r="J128" s="177" t="s">
        <v>1747</v>
      </c>
      <c r="K128" s="155">
        <f t="shared" si="84"/>
        <v>-1</v>
      </c>
      <c r="N128" s="186">
        <f t="shared" si="82"/>
        <v>0</v>
      </c>
      <c r="O128" s="186">
        <f t="shared" si="83"/>
        <v>1</v>
      </c>
      <c r="P128" s="155"/>
      <c r="R128" s="186" t="s">
        <v>873</v>
      </c>
    </row>
    <row r="129" spans="1:18" s="186" customFormat="1">
      <c r="A129" s="186">
        <f t="shared" si="85"/>
        <v>12</v>
      </c>
      <c r="D129" s="140"/>
      <c r="E129" s="141" t="s">
        <v>1829</v>
      </c>
      <c r="F129" s="141" t="s">
        <v>1756</v>
      </c>
      <c r="G129" s="154" t="str">
        <f t="shared" ref="G129:G192" si="86">A129&amp;"/"&amp;B129</f>
        <v>12/</v>
      </c>
      <c r="H129" s="141" t="str">
        <f t="shared" ref="H129:H192" si="87">A129&amp;"/"&amp;B129</f>
        <v>12/</v>
      </c>
      <c r="I129" s="177" t="s">
        <v>1747</v>
      </c>
      <c r="J129" s="177" t="s">
        <v>1747</v>
      </c>
      <c r="K129" s="155">
        <f t="shared" si="84"/>
        <v>-1</v>
      </c>
      <c r="N129" s="186">
        <f t="shared" si="82"/>
        <v>0</v>
      </c>
      <c r="O129" s="186">
        <f t="shared" si="83"/>
        <v>1</v>
      </c>
      <c r="P129" s="155"/>
      <c r="R129" s="186" t="s">
        <v>873</v>
      </c>
    </row>
    <row r="130" spans="1:18" s="186" customFormat="1">
      <c r="A130" s="186">
        <f t="shared" si="85"/>
        <v>12</v>
      </c>
      <c r="D130" s="140"/>
      <c r="E130" s="141" t="s">
        <v>1829</v>
      </c>
      <c r="F130" s="141" t="s">
        <v>1756</v>
      </c>
      <c r="G130" s="154" t="str">
        <f t="shared" si="86"/>
        <v>12/</v>
      </c>
      <c r="H130" s="141" t="str">
        <f t="shared" si="87"/>
        <v>12/</v>
      </c>
      <c r="I130" s="186" t="e">
        <f t="shared" ref="I130:I178" si="88">DAY(K130)</f>
        <v>#NUM!</v>
      </c>
      <c r="J130" s="186" t="e">
        <f t="shared" ref="J130:J178" si="89">MONTH(K130)</f>
        <v>#NUM!</v>
      </c>
      <c r="K130" s="155">
        <f t="shared" si="84"/>
        <v>-1</v>
      </c>
      <c r="N130" s="186">
        <f t="shared" si="82"/>
        <v>0</v>
      </c>
      <c r="O130" s="186">
        <f t="shared" si="83"/>
        <v>1</v>
      </c>
      <c r="P130" s="155"/>
      <c r="R130" s="186" t="s">
        <v>873</v>
      </c>
    </row>
    <row r="131" spans="1:18" s="186" customFormat="1">
      <c r="A131" s="186">
        <f t="shared" si="85"/>
        <v>12</v>
      </c>
      <c r="D131" s="140"/>
      <c r="E131" s="141" t="s">
        <v>1829</v>
      </c>
      <c r="F131" s="141" t="s">
        <v>1756</v>
      </c>
      <c r="G131" s="154" t="str">
        <f t="shared" si="86"/>
        <v>12/</v>
      </c>
      <c r="H131" s="141" t="str">
        <f t="shared" si="87"/>
        <v>12/</v>
      </c>
      <c r="I131" s="186" t="e">
        <f t="shared" si="88"/>
        <v>#NUM!</v>
      </c>
      <c r="J131" s="186" t="e">
        <f t="shared" si="89"/>
        <v>#NUM!</v>
      </c>
      <c r="K131" s="155">
        <f t="shared" si="84"/>
        <v>-1</v>
      </c>
      <c r="N131" s="186">
        <f t="shared" si="82"/>
        <v>0</v>
      </c>
      <c r="O131" s="186">
        <f t="shared" si="83"/>
        <v>1</v>
      </c>
      <c r="P131" s="155"/>
      <c r="R131" s="186" t="s">
        <v>873</v>
      </c>
    </row>
    <row r="132" spans="1:18" s="186" customFormat="1">
      <c r="A132" s="186">
        <f t="shared" si="85"/>
        <v>12</v>
      </c>
      <c r="D132" s="140"/>
      <c r="E132" s="141" t="s">
        <v>1829</v>
      </c>
      <c r="F132" s="141" t="s">
        <v>1756</v>
      </c>
      <c r="G132" s="154" t="str">
        <f t="shared" si="86"/>
        <v>12/</v>
      </c>
      <c r="H132" s="141" t="str">
        <f t="shared" si="87"/>
        <v>12/</v>
      </c>
      <c r="I132" s="186" t="e">
        <f t="shared" si="88"/>
        <v>#NUM!</v>
      </c>
      <c r="J132" s="186" t="e">
        <f t="shared" si="89"/>
        <v>#NUM!</v>
      </c>
      <c r="K132" s="155">
        <f t="shared" si="84"/>
        <v>-1</v>
      </c>
      <c r="N132" s="186">
        <f t="shared" si="82"/>
        <v>0</v>
      </c>
      <c r="O132" s="186">
        <f t="shared" si="83"/>
        <v>1</v>
      </c>
      <c r="P132" s="155"/>
      <c r="R132" s="186" t="s">
        <v>873</v>
      </c>
    </row>
    <row r="133" spans="1:18" s="186" customFormat="1">
      <c r="A133" s="186">
        <f t="shared" si="85"/>
        <v>12</v>
      </c>
      <c r="D133" s="140"/>
      <c r="E133" s="141" t="s">
        <v>1829</v>
      </c>
      <c r="F133" s="141" t="s">
        <v>1756</v>
      </c>
      <c r="G133" s="154" t="str">
        <f t="shared" si="86"/>
        <v>12/</v>
      </c>
      <c r="H133" s="141" t="str">
        <f t="shared" si="87"/>
        <v>12/</v>
      </c>
      <c r="I133" s="186" t="e">
        <f t="shared" si="88"/>
        <v>#NUM!</v>
      </c>
      <c r="J133" s="186" t="e">
        <f t="shared" si="89"/>
        <v>#NUM!</v>
      </c>
      <c r="K133" s="155">
        <f t="shared" si="84"/>
        <v>-1</v>
      </c>
      <c r="N133" s="186">
        <f t="shared" si="82"/>
        <v>0</v>
      </c>
      <c r="O133" s="186">
        <f t="shared" si="83"/>
        <v>1</v>
      </c>
      <c r="P133" s="155"/>
      <c r="R133" s="186" t="s">
        <v>873</v>
      </c>
    </row>
    <row r="134" spans="1:18" s="186" customFormat="1">
      <c r="A134" s="186">
        <f t="shared" si="85"/>
        <v>12</v>
      </c>
      <c r="D134" s="140"/>
      <c r="E134" s="141" t="s">
        <v>1829</v>
      </c>
      <c r="F134" s="141" t="s">
        <v>1756</v>
      </c>
      <c r="G134" s="154" t="str">
        <f t="shared" si="86"/>
        <v>12/</v>
      </c>
      <c r="H134" s="141" t="str">
        <f t="shared" si="87"/>
        <v>12/</v>
      </c>
      <c r="I134" s="186" t="e">
        <f t="shared" si="88"/>
        <v>#NUM!</v>
      </c>
      <c r="J134" s="186" t="e">
        <f t="shared" si="89"/>
        <v>#NUM!</v>
      </c>
      <c r="K134" s="155">
        <f t="shared" si="84"/>
        <v>-1</v>
      </c>
      <c r="N134" s="186">
        <f t="shared" si="82"/>
        <v>0</v>
      </c>
      <c r="O134" s="186">
        <f t="shared" si="83"/>
        <v>1</v>
      </c>
      <c r="P134" s="155"/>
      <c r="R134" s="186" t="s">
        <v>873</v>
      </c>
    </row>
    <row r="135" spans="1:18" s="186" customFormat="1">
      <c r="A135" s="186">
        <f t="shared" si="85"/>
        <v>12</v>
      </c>
      <c r="D135" s="140"/>
      <c r="E135" s="141" t="s">
        <v>1829</v>
      </c>
      <c r="F135" s="141" t="s">
        <v>1756</v>
      </c>
      <c r="G135" s="154" t="str">
        <f t="shared" si="86"/>
        <v>12/</v>
      </c>
      <c r="H135" s="141" t="str">
        <f t="shared" si="87"/>
        <v>12/</v>
      </c>
      <c r="I135" s="186" t="e">
        <f t="shared" si="88"/>
        <v>#NUM!</v>
      </c>
      <c r="J135" s="186" t="e">
        <f t="shared" si="89"/>
        <v>#NUM!</v>
      </c>
      <c r="K135" s="155">
        <f t="shared" si="84"/>
        <v>-1</v>
      </c>
      <c r="N135" s="186">
        <f t="shared" si="82"/>
        <v>0</v>
      </c>
      <c r="O135" s="186">
        <f t="shared" si="83"/>
        <v>1</v>
      </c>
      <c r="P135" s="155"/>
      <c r="R135" s="186" t="s">
        <v>873</v>
      </c>
    </row>
    <row r="136" spans="1:18" s="186" customFormat="1">
      <c r="A136" s="186">
        <f t="shared" si="85"/>
        <v>12</v>
      </c>
      <c r="D136" s="140"/>
      <c r="E136" s="141" t="s">
        <v>1829</v>
      </c>
      <c r="F136" s="141" t="s">
        <v>1756</v>
      </c>
      <c r="G136" s="154" t="str">
        <f t="shared" si="86"/>
        <v>12/</v>
      </c>
      <c r="H136" s="141" t="str">
        <f t="shared" si="87"/>
        <v>12/</v>
      </c>
      <c r="I136" s="186" t="e">
        <f t="shared" si="88"/>
        <v>#NUM!</v>
      </c>
      <c r="J136" s="186" t="e">
        <f t="shared" si="89"/>
        <v>#NUM!</v>
      </c>
      <c r="K136" s="155">
        <f t="shared" si="84"/>
        <v>-1</v>
      </c>
      <c r="N136" s="186">
        <f t="shared" si="82"/>
        <v>0</v>
      </c>
      <c r="O136" s="186">
        <f t="shared" si="83"/>
        <v>1</v>
      </c>
      <c r="P136" s="155"/>
      <c r="R136" s="186" t="s">
        <v>873</v>
      </c>
    </row>
    <row r="137" spans="1:18" s="186" customFormat="1">
      <c r="A137" s="186">
        <f t="shared" si="85"/>
        <v>12</v>
      </c>
      <c r="D137" s="140"/>
      <c r="E137" s="141" t="s">
        <v>1829</v>
      </c>
      <c r="F137" s="141" t="s">
        <v>1756</v>
      </c>
      <c r="G137" s="154" t="str">
        <f t="shared" si="86"/>
        <v>12/</v>
      </c>
      <c r="H137" s="141" t="str">
        <f t="shared" si="87"/>
        <v>12/</v>
      </c>
      <c r="I137" s="186" t="e">
        <f t="shared" si="88"/>
        <v>#NUM!</v>
      </c>
      <c r="J137" s="186" t="e">
        <f t="shared" si="89"/>
        <v>#NUM!</v>
      </c>
      <c r="K137" s="155">
        <f t="shared" si="84"/>
        <v>-1</v>
      </c>
      <c r="N137" s="186">
        <f t="shared" si="82"/>
        <v>0</v>
      </c>
      <c r="O137" s="186">
        <f t="shared" si="83"/>
        <v>1</v>
      </c>
      <c r="P137" s="155"/>
      <c r="R137" s="186" t="s">
        <v>873</v>
      </c>
    </row>
    <row r="138" spans="1:18" s="186" customFormat="1">
      <c r="A138" s="186">
        <f t="shared" si="85"/>
        <v>12</v>
      </c>
      <c r="D138" s="140"/>
      <c r="E138" s="141" t="s">
        <v>1829</v>
      </c>
      <c r="F138" s="141" t="s">
        <v>1756</v>
      </c>
      <c r="G138" s="154" t="str">
        <f t="shared" si="86"/>
        <v>12/</v>
      </c>
      <c r="H138" s="141" t="str">
        <f t="shared" si="87"/>
        <v>12/</v>
      </c>
      <c r="I138" s="186" t="e">
        <f t="shared" si="88"/>
        <v>#NUM!</v>
      </c>
      <c r="J138" s="186" t="e">
        <f t="shared" si="89"/>
        <v>#NUM!</v>
      </c>
      <c r="K138" s="155">
        <f t="shared" si="84"/>
        <v>-1</v>
      </c>
      <c r="N138" s="186">
        <f t="shared" si="82"/>
        <v>0</v>
      </c>
      <c r="O138" s="186">
        <f t="shared" si="83"/>
        <v>1</v>
      </c>
      <c r="P138" s="155"/>
      <c r="R138" s="186" t="s">
        <v>873</v>
      </c>
    </row>
    <row r="139" spans="1:18" s="186" customFormat="1">
      <c r="A139" s="186">
        <f t="shared" si="85"/>
        <v>12</v>
      </c>
      <c r="D139" s="140"/>
      <c r="E139" s="141" t="s">
        <v>1829</v>
      </c>
      <c r="F139" s="141" t="s">
        <v>1756</v>
      </c>
      <c r="G139" s="154" t="str">
        <f t="shared" si="86"/>
        <v>12/</v>
      </c>
      <c r="H139" s="141" t="str">
        <f t="shared" si="87"/>
        <v>12/</v>
      </c>
      <c r="I139" s="186" t="e">
        <f t="shared" si="88"/>
        <v>#NUM!</v>
      </c>
      <c r="J139" s="186" t="e">
        <f t="shared" si="89"/>
        <v>#NUM!</v>
      </c>
      <c r="K139" s="155">
        <f t="shared" si="84"/>
        <v>-1</v>
      </c>
      <c r="N139" s="186">
        <f t="shared" si="82"/>
        <v>0</v>
      </c>
      <c r="O139" s="186">
        <f t="shared" si="83"/>
        <v>1</v>
      </c>
      <c r="P139" s="155"/>
      <c r="R139" s="186" t="s">
        <v>873</v>
      </c>
    </row>
    <row r="140" spans="1:18" s="186" customFormat="1">
      <c r="A140" s="186">
        <f t="shared" si="85"/>
        <v>12</v>
      </c>
      <c r="D140" s="140"/>
      <c r="E140" s="141" t="s">
        <v>1829</v>
      </c>
      <c r="F140" s="141" t="s">
        <v>1756</v>
      </c>
      <c r="G140" s="154" t="str">
        <f t="shared" si="86"/>
        <v>12/</v>
      </c>
      <c r="H140" s="141" t="str">
        <f t="shared" si="87"/>
        <v>12/</v>
      </c>
      <c r="I140" s="186" t="e">
        <f t="shared" si="88"/>
        <v>#NUM!</v>
      </c>
      <c r="J140" s="186" t="e">
        <f t="shared" si="89"/>
        <v>#NUM!</v>
      </c>
      <c r="K140" s="155">
        <f t="shared" si="84"/>
        <v>-1</v>
      </c>
      <c r="N140" s="186">
        <f t="shared" si="82"/>
        <v>0</v>
      </c>
      <c r="O140" s="186">
        <f t="shared" si="83"/>
        <v>1</v>
      </c>
      <c r="P140" s="155"/>
      <c r="R140" s="186" t="s">
        <v>873</v>
      </c>
    </row>
    <row r="141" spans="1:18" s="186" customFormat="1">
      <c r="A141" s="186">
        <f t="shared" si="85"/>
        <v>12</v>
      </c>
      <c r="D141" s="140"/>
      <c r="E141" s="141" t="s">
        <v>1829</v>
      </c>
      <c r="F141" s="141" t="s">
        <v>1756</v>
      </c>
      <c r="G141" s="154" t="str">
        <f t="shared" si="86"/>
        <v>12/</v>
      </c>
      <c r="H141" s="141" t="str">
        <f t="shared" si="87"/>
        <v>12/</v>
      </c>
      <c r="I141" s="186" t="e">
        <f t="shared" si="88"/>
        <v>#NUM!</v>
      </c>
      <c r="J141" s="186" t="e">
        <f t="shared" si="89"/>
        <v>#NUM!</v>
      </c>
      <c r="K141" s="155">
        <f t="shared" si="84"/>
        <v>-1</v>
      </c>
      <c r="N141" s="186">
        <f t="shared" si="82"/>
        <v>0</v>
      </c>
      <c r="O141" s="186">
        <f t="shared" si="83"/>
        <v>1</v>
      </c>
      <c r="P141" s="155"/>
      <c r="R141" s="186" t="s">
        <v>873</v>
      </c>
    </row>
    <row r="142" spans="1:18" s="186" customFormat="1">
      <c r="A142" s="186">
        <f t="shared" si="85"/>
        <v>12</v>
      </c>
      <c r="D142" s="140"/>
      <c r="E142" s="141" t="s">
        <v>1829</v>
      </c>
      <c r="F142" s="141" t="s">
        <v>1756</v>
      </c>
      <c r="G142" s="154" t="str">
        <f t="shared" si="86"/>
        <v>12/</v>
      </c>
      <c r="H142" s="141" t="str">
        <f t="shared" si="87"/>
        <v>12/</v>
      </c>
      <c r="I142" s="186" t="e">
        <f t="shared" si="88"/>
        <v>#NUM!</v>
      </c>
      <c r="J142" s="186" t="e">
        <f t="shared" si="89"/>
        <v>#NUM!</v>
      </c>
      <c r="K142" s="155">
        <f t="shared" si="84"/>
        <v>-1</v>
      </c>
      <c r="N142" s="186">
        <f t="shared" si="82"/>
        <v>0</v>
      </c>
      <c r="O142" s="186">
        <f t="shared" si="83"/>
        <v>1</v>
      </c>
      <c r="P142" s="155"/>
      <c r="R142" s="186" t="s">
        <v>873</v>
      </c>
    </row>
    <row r="143" spans="1:18" s="186" customFormat="1">
      <c r="A143" s="186">
        <f t="shared" si="85"/>
        <v>12</v>
      </c>
      <c r="D143" s="140"/>
      <c r="E143" s="141" t="s">
        <v>1829</v>
      </c>
      <c r="F143" s="141" t="s">
        <v>1756</v>
      </c>
      <c r="G143" s="154" t="str">
        <f t="shared" si="86"/>
        <v>12/</v>
      </c>
      <c r="H143" s="141" t="str">
        <f t="shared" si="87"/>
        <v>12/</v>
      </c>
      <c r="I143" s="186" t="e">
        <f t="shared" si="88"/>
        <v>#NUM!</v>
      </c>
      <c r="J143" s="186" t="e">
        <f t="shared" si="89"/>
        <v>#NUM!</v>
      </c>
      <c r="K143" s="155">
        <f t="shared" si="84"/>
        <v>-1</v>
      </c>
      <c r="N143" s="186">
        <f t="shared" si="82"/>
        <v>0</v>
      </c>
      <c r="O143" s="186">
        <f t="shared" si="83"/>
        <v>1</v>
      </c>
      <c r="P143" s="155"/>
      <c r="R143" s="186" t="s">
        <v>873</v>
      </c>
    </row>
    <row r="144" spans="1:18" s="186" customFormat="1">
      <c r="A144" s="186">
        <f t="shared" si="85"/>
        <v>12</v>
      </c>
      <c r="D144" s="140"/>
      <c r="E144" s="141" t="s">
        <v>1829</v>
      </c>
      <c r="F144" s="141" t="s">
        <v>1756</v>
      </c>
      <c r="G144" s="154" t="str">
        <f t="shared" si="86"/>
        <v>12/</v>
      </c>
      <c r="H144" s="141" t="str">
        <f t="shared" si="87"/>
        <v>12/</v>
      </c>
      <c r="I144" s="186" t="e">
        <f t="shared" si="88"/>
        <v>#NUM!</v>
      </c>
      <c r="J144" s="186" t="e">
        <f t="shared" si="89"/>
        <v>#NUM!</v>
      </c>
      <c r="K144" s="155">
        <f t="shared" si="84"/>
        <v>-1</v>
      </c>
      <c r="N144" s="186">
        <f t="shared" si="82"/>
        <v>0</v>
      </c>
      <c r="O144" s="186">
        <f t="shared" si="83"/>
        <v>1</v>
      </c>
      <c r="P144" s="155"/>
      <c r="R144" s="186" t="s">
        <v>873</v>
      </c>
    </row>
    <row r="145" spans="1:22" s="186" customFormat="1">
      <c r="A145" s="186">
        <f t="shared" si="85"/>
        <v>12</v>
      </c>
      <c r="D145" s="140"/>
      <c r="E145" s="141" t="s">
        <v>1829</v>
      </c>
      <c r="F145" s="141" t="s">
        <v>1756</v>
      </c>
      <c r="G145" s="154" t="str">
        <f t="shared" si="86"/>
        <v>12/</v>
      </c>
      <c r="H145" s="141" t="str">
        <f t="shared" si="87"/>
        <v>12/</v>
      </c>
      <c r="I145" s="186" t="e">
        <f t="shared" si="88"/>
        <v>#NUM!</v>
      </c>
      <c r="J145" s="186" t="e">
        <f t="shared" si="89"/>
        <v>#NUM!</v>
      </c>
      <c r="K145" s="155">
        <f t="shared" si="84"/>
        <v>-1</v>
      </c>
      <c r="N145" s="186">
        <f t="shared" si="82"/>
        <v>0</v>
      </c>
      <c r="O145" s="186">
        <f t="shared" si="83"/>
        <v>1</v>
      </c>
      <c r="P145" s="155"/>
      <c r="R145" s="186" t="s">
        <v>873</v>
      </c>
    </row>
    <row r="146" spans="1:22" s="186" customFormat="1">
      <c r="A146" s="186">
        <f t="shared" si="85"/>
        <v>12</v>
      </c>
      <c r="D146" s="140"/>
      <c r="E146" s="141" t="s">
        <v>1829</v>
      </c>
      <c r="F146" s="141" t="s">
        <v>1756</v>
      </c>
      <c r="G146" s="154" t="str">
        <f t="shared" si="86"/>
        <v>12/</v>
      </c>
      <c r="H146" s="141" t="str">
        <f t="shared" si="87"/>
        <v>12/</v>
      </c>
      <c r="I146" s="186" t="e">
        <f t="shared" si="88"/>
        <v>#NUM!</v>
      </c>
      <c r="J146" s="186" t="e">
        <f t="shared" si="89"/>
        <v>#NUM!</v>
      </c>
      <c r="K146" s="155">
        <f t="shared" si="84"/>
        <v>-1</v>
      </c>
      <c r="N146" s="186">
        <f t="shared" si="82"/>
        <v>0</v>
      </c>
      <c r="O146" s="186">
        <f t="shared" si="83"/>
        <v>1</v>
      </c>
      <c r="P146" s="155"/>
      <c r="R146" s="186" t="s">
        <v>873</v>
      </c>
    </row>
    <row r="147" spans="1:22" s="186" customFormat="1">
      <c r="A147" s="186">
        <f t="shared" si="85"/>
        <v>12</v>
      </c>
      <c r="D147" s="140"/>
      <c r="E147" s="141" t="s">
        <v>1829</v>
      </c>
      <c r="F147" s="141" t="s">
        <v>1756</v>
      </c>
      <c r="G147" s="154" t="str">
        <f t="shared" si="86"/>
        <v>12/</v>
      </c>
      <c r="H147" s="141" t="str">
        <f t="shared" si="87"/>
        <v>12/</v>
      </c>
      <c r="I147" s="186" t="e">
        <f t="shared" si="88"/>
        <v>#NUM!</v>
      </c>
      <c r="J147" s="186" t="e">
        <f t="shared" si="89"/>
        <v>#NUM!</v>
      </c>
      <c r="K147" s="155">
        <f t="shared" si="84"/>
        <v>-1</v>
      </c>
      <c r="N147" s="186">
        <f t="shared" si="82"/>
        <v>0</v>
      </c>
      <c r="O147" s="186">
        <f t="shared" si="83"/>
        <v>1</v>
      </c>
      <c r="P147" s="155"/>
      <c r="R147" s="186" t="s">
        <v>873</v>
      </c>
    </row>
    <row r="148" spans="1:22" s="186" customFormat="1">
      <c r="A148" s="186">
        <f t="shared" si="85"/>
        <v>12</v>
      </c>
      <c r="D148" s="140"/>
      <c r="E148" s="141" t="s">
        <v>1829</v>
      </c>
      <c r="F148" s="141" t="s">
        <v>1756</v>
      </c>
      <c r="G148" s="154" t="str">
        <f t="shared" si="86"/>
        <v>12/</v>
      </c>
      <c r="H148" s="141" t="str">
        <f t="shared" si="87"/>
        <v>12/</v>
      </c>
      <c r="I148" s="186" t="e">
        <f t="shared" si="88"/>
        <v>#NUM!</v>
      </c>
      <c r="J148" s="186" t="e">
        <f t="shared" si="89"/>
        <v>#NUM!</v>
      </c>
      <c r="K148" s="155">
        <f t="shared" si="84"/>
        <v>-1</v>
      </c>
      <c r="N148" s="186">
        <f t="shared" si="82"/>
        <v>0</v>
      </c>
      <c r="O148" s="186">
        <f t="shared" si="83"/>
        <v>1</v>
      </c>
      <c r="P148" s="155"/>
      <c r="R148" s="186" t="s">
        <v>873</v>
      </c>
    </row>
    <row r="149" spans="1:22" s="186" customFormat="1">
      <c r="A149" s="186">
        <f t="shared" si="85"/>
        <v>12</v>
      </c>
      <c r="D149" s="140"/>
      <c r="E149" s="141" t="s">
        <v>1829</v>
      </c>
      <c r="F149" s="141" t="s">
        <v>1756</v>
      </c>
      <c r="G149" s="154" t="str">
        <f t="shared" si="86"/>
        <v>12/</v>
      </c>
      <c r="H149" s="141" t="str">
        <f t="shared" si="87"/>
        <v>12/</v>
      </c>
      <c r="I149" s="186" t="e">
        <f t="shared" si="88"/>
        <v>#NUM!</v>
      </c>
      <c r="J149" s="186" t="e">
        <f t="shared" si="89"/>
        <v>#NUM!</v>
      </c>
      <c r="K149" s="155">
        <f t="shared" si="84"/>
        <v>-1</v>
      </c>
      <c r="N149" s="186">
        <f t="shared" si="82"/>
        <v>0</v>
      </c>
      <c r="O149" s="186">
        <f t="shared" si="83"/>
        <v>1</v>
      </c>
      <c r="P149" s="155"/>
      <c r="R149" s="186" t="s">
        <v>873</v>
      </c>
    </row>
    <row r="150" spans="1:22" s="186" customFormat="1">
      <c r="A150" s="186">
        <f t="shared" si="85"/>
        <v>12</v>
      </c>
      <c r="D150" s="140"/>
      <c r="E150" s="141" t="s">
        <v>1829</v>
      </c>
      <c r="F150" s="141" t="s">
        <v>1756</v>
      </c>
      <c r="G150" s="154" t="str">
        <f t="shared" si="86"/>
        <v>12/</v>
      </c>
      <c r="H150" s="141" t="str">
        <f t="shared" si="87"/>
        <v>12/</v>
      </c>
      <c r="I150" s="186" t="e">
        <f t="shared" si="88"/>
        <v>#NUM!</v>
      </c>
      <c r="J150" s="186" t="e">
        <f t="shared" si="89"/>
        <v>#NUM!</v>
      </c>
      <c r="K150" s="155">
        <f t="shared" si="84"/>
        <v>-1</v>
      </c>
      <c r="N150" s="186">
        <f t="shared" si="82"/>
        <v>0</v>
      </c>
      <c r="O150" s="186">
        <f t="shared" si="83"/>
        <v>1</v>
      </c>
      <c r="P150" s="155"/>
      <c r="R150" s="186" t="s">
        <v>873</v>
      </c>
    </row>
    <row r="151" spans="1:22">
      <c r="A151" s="186">
        <f t="shared" si="85"/>
        <v>12</v>
      </c>
      <c r="E151" s="141" t="s">
        <v>1829</v>
      </c>
      <c r="F151" s="141" t="s">
        <v>1756</v>
      </c>
      <c r="G151" s="154" t="str">
        <f t="shared" si="86"/>
        <v>12/</v>
      </c>
      <c r="H151" s="141" t="str">
        <f t="shared" si="87"/>
        <v>12/</v>
      </c>
      <c r="I151" s="139" t="e">
        <f t="shared" si="88"/>
        <v>#NUM!</v>
      </c>
      <c r="J151" s="139" t="e">
        <f t="shared" si="89"/>
        <v>#NUM!</v>
      </c>
      <c r="K151" s="155">
        <f t="shared" si="84"/>
        <v>-1</v>
      </c>
      <c r="N151" s="139">
        <f t="shared" si="82"/>
        <v>0</v>
      </c>
      <c r="O151" s="139">
        <f t="shared" si="83"/>
        <v>1</v>
      </c>
      <c r="P151" s="155"/>
      <c r="Q151" s="186"/>
      <c r="R151" s="186" t="s">
        <v>873</v>
      </c>
      <c r="S151" s="139"/>
      <c r="V151" s="139"/>
    </row>
    <row r="152" spans="1:22">
      <c r="A152" s="186">
        <f t="shared" si="85"/>
        <v>12</v>
      </c>
      <c r="E152" s="141" t="s">
        <v>1829</v>
      </c>
      <c r="F152" s="141" t="s">
        <v>1756</v>
      </c>
      <c r="G152" s="154" t="str">
        <f t="shared" si="86"/>
        <v>12/</v>
      </c>
      <c r="H152" s="141" t="str">
        <f t="shared" si="87"/>
        <v>12/</v>
      </c>
      <c r="I152" s="139" t="e">
        <f t="shared" si="88"/>
        <v>#NUM!</v>
      </c>
      <c r="J152" s="139" t="e">
        <f t="shared" si="89"/>
        <v>#NUM!</v>
      </c>
      <c r="K152" s="155">
        <f t="shared" si="84"/>
        <v>-1</v>
      </c>
      <c r="N152" s="139">
        <f t="shared" si="82"/>
        <v>0</v>
      </c>
      <c r="O152" s="139">
        <f t="shared" si="83"/>
        <v>1</v>
      </c>
      <c r="P152" s="155"/>
      <c r="Q152" s="186"/>
      <c r="R152" s="186" t="s">
        <v>873</v>
      </c>
      <c r="S152" s="139"/>
      <c r="V152" s="139"/>
    </row>
    <row r="153" spans="1:22">
      <c r="A153" s="186">
        <f t="shared" si="85"/>
        <v>12</v>
      </c>
      <c r="E153" s="141" t="s">
        <v>1829</v>
      </c>
      <c r="F153" s="141" t="s">
        <v>1756</v>
      </c>
      <c r="G153" s="154" t="str">
        <f t="shared" si="86"/>
        <v>12/</v>
      </c>
      <c r="H153" s="141" t="str">
        <f t="shared" si="87"/>
        <v>12/</v>
      </c>
      <c r="I153" s="139" t="e">
        <f t="shared" si="88"/>
        <v>#NUM!</v>
      </c>
      <c r="J153" s="139" t="e">
        <f t="shared" si="89"/>
        <v>#NUM!</v>
      </c>
      <c r="K153" s="155">
        <f t="shared" si="84"/>
        <v>-1</v>
      </c>
      <c r="N153" s="139">
        <f t="shared" si="82"/>
        <v>0</v>
      </c>
      <c r="O153" s="139">
        <f t="shared" si="83"/>
        <v>1</v>
      </c>
      <c r="P153" s="155"/>
      <c r="Q153" s="186"/>
      <c r="R153" s="186" t="s">
        <v>873</v>
      </c>
      <c r="S153" s="139"/>
      <c r="V153" s="139"/>
    </row>
    <row r="154" spans="1:22">
      <c r="A154" s="186">
        <f t="shared" si="85"/>
        <v>12</v>
      </c>
      <c r="E154" s="141" t="s">
        <v>1829</v>
      </c>
      <c r="F154" s="141" t="s">
        <v>1756</v>
      </c>
      <c r="G154" s="154" t="str">
        <f t="shared" si="86"/>
        <v>12/</v>
      </c>
      <c r="H154" s="141" t="str">
        <f t="shared" si="87"/>
        <v>12/</v>
      </c>
      <c r="I154" s="139" t="e">
        <f t="shared" si="88"/>
        <v>#NUM!</v>
      </c>
      <c r="J154" s="139" t="e">
        <f t="shared" si="89"/>
        <v>#NUM!</v>
      </c>
      <c r="K154" s="155">
        <f t="shared" si="84"/>
        <v>-1</v>
      </c>
      <c r="N154" s="139">
        <f t="shared" si="82"/>
        <v>0</v>
      </c>
      <c r="O154" s="139">
        <f t="shared" si="83"/>
        <v>1</v>
      </c>
      <c r="P154" s="155"/>
      <c r="Q154" s="186"/>
      <c r="R154" s="186" t="s">
        <v>873</v>
      </c>
      <c r="S154" s="139"/>
      <c r="V154" s="139"/>
    </row>
    <row r="155" spans="1:22">
      <c r="A155" s="186">
        <f t="shared" si="85"/>
        <v>12</v>
      </c>
      <c r="E155" s="141" t="s">
        <v>1829</v>
      </c>
      <c r="F155" s="141" t="s">
        <v>1756</v>
      </c>
      <c r="G155" s="154" t="str">
        <f t="shared" si="86"/>
        <v>12/</v>
      </c>
      <c r="H155" s="141" t="str">
        <f t="shared" si="87"/>
        <v>12/</v>
      </c>
      <c r="I155" s="139" t="e">
        <f t="shared" si="88"/>
        <v>#NUM!</v>
      </c>
      <c r="J155" s="139" t="e">
        <f t="shared" si="89"/>
        <v>#NUM!</v>
      </c>
      <c r="K155" s="155">
        <f t="shared" si="84"/>
        <v>-1</v>
      </c>
      <c r="N155" s="139">
        <f t="shared" si="82"/>
        <v>0</v>
      </c>
      <c r="O155" s="139">
        <f t="shared" si="83"/>
        <v>1</v>
      </c>
      <c r="P155" s="155"/>
      <c r="Q155" s="186"/>
      <c r="R155" s="186" t="s">
        <v>873</v>
      </c>
      <c r="S155" s="139"/>
      <c r="V155" s="139"/>
    </row>
    <row r="156" spans="1:22">
      <c r="A156" s="186">
        <f t="shared" si="85"/>
        <v>12</v>
      </c>
      <c r="E156" s="141" t="s">
        <v>1829</v>
      </c>
      <c r="F156" s="141" t="s">
        <v>1756</v>
      </c>
      <c r="G156" s="154" t="str">
        <f t="shared" si="86"/>
        <v>12/</v>
      </c>
      <c r="H156" s="141" t="str">
        <f t="shared" si="87"/>
        <v>12/</v>
      </c>
      <c r="I156" s="139" t="e">
        <f t="shared" si="88"/>
        <v>#NUM!</v>
      </c>
      <c r="J156" s="139" t="e">
        <f t="shared" si="89"/>
        <v>#NUM!</v>
      </c>
      <c r="K156" s="155">
        <f t="shared" si="84"/>
        <v>-1</v>
      </c>
      <c r="N156" s="139">
        <f t="shared" si="82"/>
        <v>0</v>
      </c>
      <c r="O156" s="139">
        <f t="shared" si="83"/>
        <v>1</v>
      </c>
      <c r="P156" s="155"/>
      <c r="Q156" s="186"/>
      <c r="R156" s="186" t="s">
        <v>873</v>
      </c>
      <c r="S156" s="139"/>
      <c r="V156" s="139"/>
    </row>
    <row r="157" spans="1:22">
      <c r="A157" s="186">
        <f t="shared" si="85"/>
        <v>12</v>
      </c>
      <c r="E157" s="141" t="s">
        <v>1829</v>
      </c>
      <c r="F157" s="141" t="s">
        <v>1756</v>
      </c>
      <c r="G157" s="154" t="str">
        <f t="shared" si="86"/>
        <v>12/</v>
      </c>
      <c r="H157" s="141" t="str">
        <f t="shared" si="87"/>
        <v>12/</v>
      </c>
      <c r="I157" s="139" t="e">
        <f t="shared" si="88"/>
        <v>#NUM!</v>
      </c>
      <c r="J157" s="139" t="e">
        <f t="shared" si="89"/>
        <v>#NUM!</v>
      </c>
      <c r="K157" s="155">
        <f t="shared" si="84"/>
        <v>-1</v>
      </c>
      <c r="N157" s="139">
        <f t="shared" si="82"/>
        <v>0</v>
      </c>
      <c r="O157" s="139">
        <f t="shared" si="83"/>
        <v>1</v>
      </c>
      <c r="P157" s="155"/>
      <c r="Q157" s="186"/>
      <c r="R157" s="186" t="s">
        <v>873</v>
      </c>
      <c r="S157" s="139"/>
      <c r="V157" s="139"/>
    </row>
    <row r="158" spans="1:22">
      <c r="A158" s="186">
        <f t="shared" si="85"/>
        <v>12</v>
      </c>
      <c r="E158" s="141" t="s">
        <v>1829</v>
      </c>
      <c r="F158" s="141" t="s">
        <v>1756</v>
      </c>
      <c r="G158" s="154" t="str">
        <f t="shared" si="86"/>
        <v>12/</v>
      </c>
      <c r="H158" s="141" t="str">
        <f t="shared" si="87"/>
        <v>12/</v>
      </c>
      <c r="I158" s="139" t="e">
        <f t="shared" si="88"/>
        <v>#NUM!</v>
      </c>
      <c r="J158" s="139" t="e">
        <f t="shared" si="89"/>
        <v>#NUM!</v>
      </c>
      <c r="K158" s="155">
        <f t="shared" si="84"/>
        <v>-1</v>
      </c>
      <c r="N158" s="139">
        <f t="shared" si="82"/>
        <v>0</v>
      </c>
      <c r="O158" s="139">
        <f t="shared" si="83"/>
        <v>1</v>
      </c>
      <c r="P158" s="155"/>
      <c r="Q158" s="186"/>
      <c r="R158" s="186" t="s">
        <v>873</v>
      </c>
      <c r="S158" s="139"/>
      <c r="V158" s="139"/>
    </row>
    <row r="159" spans="1:22">
      <c r="A159" s="186">
        <f t="shared" si="85"/>
        <v>12</v>
      </c>
      <c r="E159" s="141" t="s">
        <v>1829</v>
      </c>
      <c r="F159" s="141" t="s">
        <v>1756</v>
      </c>
      <c r="G159" s="154" t="str">
        <f t="shared" si="86"/>
        <v>12/</v>
      </c>
      <c r="H159" s="141" t="str">
        <f t="shared" si="87"/>
        <v>12/</v>
      </c>
      <c r="I159" s="139" t="e">
        <f t="shared" si="88"/>
        <v>#NUM!</v>
      </c>
      <c r="J159" s="139" t="e">
        <f t="shared" si="89"/>
        <v>#NUM!</v>
      </c>
      <c r="K159" s="155">
        <f t="shared" si="84"/>
        <v>-1</v>
      </c>
      <c r="N159" s="139">
        <f t="shared" si="82"/>
        <v>0</v>
      </c>
      <c r="O159" s="139">
        <f t="shared" si="83"/>
        <v>1</v>
      </c>
      <c r="P159" s="155"/>
      <c r="Q159" s="186"/>
      <c r="R159" s="186" t="s">
        <v>873</v>
      </c>
      <c r="S159" s="139"/>
      <c r="V159" s="139"/>
    </row>
    <row r="160" spans="1:22">
      <c r="A160" s="186">
        <f t="shared" si="85"/>
        <v>12</v>
      </c>
      <c r="E160" s="141" t="s">
        <v>1829</v>
      </c>
      <c r="F160" s="141" t="s">
        <v>1756</v>
      </c>
      <c r="G160" s="154" t="str">
        <f t="shared" si="86"/>
        <v>12/</v>
      </c>
      <c r="H160" s="141" t="str">
        <f t="shared" si="87"/>
        <v>12/</v>
      </c>
      <c r="I160" s="139" t="e">
        <f t="shared" si="88"/>
        <v>#NUM!</v>
      </c>
      <c r="J160" s="139" t="e">
        <f t="shared" si="89"/>
        <v>#NUM!</v>
      </c>
      <c r="K160" s="155">
        <f t="shared" si="84"/>
        <v>-1</v>
      </c>
      <c r="N160" s="139">
        <f t="shared" si="82"/>
        <v>0</v>
      </c>
      <c r="O160" s="139">
        <f t="shared" si="83"/>
        <v>1</v>
      </c>
      <c r="P160" s="155"/>
      <c r="Q160" s="186"/>
      <c r="R160" s="186" t="s">
        <v>873</v>
      </c>
      <c r="S160" s="139"/>
      <c r="V160" s="139"/>
    </row>
    <row r="161" spans="1:22">
      <c r="A161" s="186">
        <f t="shared" si="85"/>
        <v>12</v>
      </c>
      <c r="E161" s="141" t="s">
        <v>1829</v>
      </c>
      <c r="F161" s="141" t="s">
        <v>1756</v>
      </c>
      <c r="G161" s="154" t="str">
        <f t="shared" si="86"/>
        <v>12/</v>
      </c>
      <c r="H161" s="141" t="str">
        <f t="shared" si="87"/>
        <v>12/</v>
      </c>
      <c r="I161" s="139" t="e">
        <f t="shared" si="88"/>
        <v>#NUM!</v>
      </c>
      <c r="J161" s="139" t="e">
        <f t="shared" si="89"/>
        <v>#NUM!</v>
      </c>
      <c r="K161" s="155">
        <f t="shared" si="84"/>
        <v>-1</v>
      </c>
      <c r="N161" s="139">
        <f t="shared" si="82"/>
        <v>0</v>
      </c>
      <c r="O161" s="139">
        <f t="shared" si="83"/>
        <v>1</v>
      </c>
      <c r="P161" s="155"/>
      <c r="Q161" s="186"/>
      <c r="R161" s="186" t="s">
        <v>873</v>
      </c>
      <c r="S161" s="139"/>
      <c r="V161" s="139"/>
    </row>
    <row r="162" spans="1:22">
      <c r="A162" s="186">
        <f t="shared" si="85"/>
        <v>12</v>
      </c>
      <c r="E162" s="141" t="s">
        <v>1829</v>
      </c>
      <c r="F162" s="141" t="s">
        <v>1756</v>
      </c>
      <c r="G162" s="154" t="str">
        <f t="shared" si="86"/>
        <v>12/</v>
      </c>
      <c r="H162" s="141" t="str">
        <f t="shared" si="87"/>
        <v>12/</v>
      </c>
      <c r="I162" s="139" t="e">
        <f t="shared" si="88"/>
        <v>#NUM!</v>
      </c>
      <c r="J162" s="139" t="e">
        <f t="shared" si="89"/>
        <v>#NUM!</v>
      </c>
      <c r="K162" s="155">
        <f t="shared" si="84"/>
        <v>-1</v>
      </c>
      <c r="N162" s="139">
        <f t="shared" si="82"/>
        <v>0</v>
      </c>
      <c r="O162" s="139">
        <f t="shared" si="83"/>
        <v>1</v>
      </c>
      <c r="P162" s="155"/>
      <c r="Q162" s="186"/>
      <c r="R162" s="186" t="s">
        <v>873</v>
      </c>
      <c r="S162" s="139"/>
      <c r="V162" s="139"/>
    </row>
    <row r="163" spans="1:22">
      <c r="A163" s="186">
        <f t="shared" ref="A163:A226" si="90">A162</f>
        <v>12</v>
      </c>
      <c r="E163" s="141" t="s">
        <v>1829</v>
      </c>
      <c r="F163" s="141" t="s">
        <v>1756</v>
      </c>
      <c r="G163" s="154" t="str">
        <f t="shared" si="86"/>
        <v>12/</v>
      </c>
      <c r="H163" s="141" t="str">
        <f t="shared" si="87"/>
        <v>12/</v>
      </c>
      <c r="I163" s="139" t="e">
        <f t="shared" si="88"/>
        <v>#NUM!</v>
      </c>
      <c r="J163" s="139" t="e">
        <f t="shared" si="89"/>
        <v>#NUM!</v>
      </c>
      <c r="K163" s="155">
        <f t="shared" si="84"/>
        <v>-1</v>
      </c>
      <c r="N163" s="139">
        <f t="shared" si="82"/>
        <v>0</v>
      </c>
      <c r="O163" s="139">
        <f t="shared" si="83"/>
        <v>1</v>
      </c>
      <c r="P163" s="155"/>
      <c r="Q163" s="186"/>
      <c r="R163" s="186" t="s">
        <v>873</v>
      </c>
      <c r="S163" s="139"/>
      <c r="V163" s="139"/>
    </row>
    <row r="164" spans="1:22">
      <c r="A164" s="186">
        <f t="shared" si="90"/>
        <v>12</v>
      </c>
      <c r="E164" s="141" t="s">
        <v>1829</v>
      </c>
      <c r="F164" s="141" t="s">
        <v>1756</v>
      </c>
      <c r="G164" s="154" t="str">
        <f t="shared" si="86"/>
        <v>12/</v>
      </c>
      <c r="H164" s="141" t="str">
        <f t="shared" si="87"/>
        <v>12/</v>
      </c>
      <c r="I164" s="139" t="e">
        <f t="shared" si="88"/>
        <v>#NUM!</v>
      </c>
      <c r="J164" s="139" t="e">
        <f t="shared" si="89"/>
        <v>#NUM!</v>
      </c>
      <c r="K164" s="155">
        <f t="shared" si="84"/>
        <v>-1</v>
      </c>
      <c r="N164" s="139">
        <f t="shared" si="82"/>
        <v>0</v>
      </c>
      <c r="O164" s="139">
        <f t="shared" si="83"/>
        <v>1</v>
      </c>
      <c r="P164" s="155"/>
      <c r="Q164" s="186"/>
      <c r="R164" s="186" t="s">
        <v>873</v>
      </c>
      <c r="S164" s="139"/>
      <c r="V164" s="139"/>
    </row>
    <row r="165" spans="1:22">
      <c r="A165" s="186">
        <f t="shared" si="90"/>
        <v>12</v>
      </c>
      <c r="E165" s="141" t="s">
        <v>1829</v>
      </c>
      <c r="F165" s="141" t="s">
        <v>1756</v>
      </c>
      <c r="G165" s="154" t="str">
        <f t="shared" si="86"/>
        <v>12/</v>
      </c>
      <c r="H165" s="141" t="str">
        <f t="shared" si="87"/>
        <v>12/</v>
      </c>
      <c r="I165" s="139" t="e">
        <f t="shared" si="88"/>
        <v>#NUM!</v>
      </c>
      <c r="J165" s="139" t="e">
        <f t="shared" si="89"/>
        <v>#NUM!</v>
      </c>
      <c r="K165" s="155">
        <f t="shared" si="84"/>
        <v>-1</v>
      </c>
      <c r="N165" s="139">
        <f t="shared" si="82"/>
        <v>0</v>
      </c>
      <c r="O165" s="139">
        <f t="shared" si="83"/>
        <v>1</v>
      </c>
      <c r="P165" s="155"/>
      <c r="Q165" s="186"/>
      <c r="R165" s="186" t="s">
        <v>873</v>
      </c>
      <c r="S165" s="139"/>
      <c r="V165" s="139"/>
    </row>
    <row r="166" spans="1:22">
      <c r="A166" s="186">
        <f t="shared" si="90"/>
        <v>12</v>
      </c>
      <c r="E166" s="141" t="s">
        <v>1829</v>
      </c>
      <c r="F166" s="141" t="s">
        <v>1756</v>
      </c>
      <c r="G166" s="154" t="str">
        <f t="shared" si="86"/>
        <v>12/</v>
      </c>
      <c r="H166" s="141" t="str">
        <f t="shared" si="87"/>
        <v>12/</v>
      </c>
      <c r="I166" s="139" t="e">
        <f t="shared" si="88"/>
        <v>#NUM!</v>
      </c>
      <c r="J166" s="139" t="e">
        <f t="shared" si="89"/>
        <v>#NUM!</v>
      </c>
      <c r="K166" s="155">
        <f t="shared" si="84"/>
        <v>-1</v>
      </c>
      <c r="N166" s="139">
        <f t="shared" si="82"/>
        <v>0</v>
      </c>
      <c r="O166" s="139">
        <f t="shared" si="83"/>
        <v>1</v>
      </c>
      <c r="P166" s="155"/>
      <c r="Q166" s="186"/>
      <c r="R166" s="186" t="s">
        <v>873</v>
      </c>
      <c r="S166" s="139"/>
      <c r="V166" s="139"/>
    </row>
    <row r="167" spans="1:22">
      <c r="A167" s="186">
        <f t="shared" si="90"/>
        <v>12</v>
      </c>
      <c r="E167" s="141" t="s">
        <v>1829</v>
      </c>
      <c r="F167" s="141" t="s">
        <v>1756</v>
      </c>
      <c r="G167" s="154" t="str">
        <f t="shared" si="86"/>
        <v>12/</v>
      </c>
      <c r="H167" s="141" t="str">
        <f t="shared" si="87"/>
        <v>12/</v>
      </c>
      <c r="I167" s="139" t="e">
        <f t="shared" si="88"/>
        <v>#NUM!</v>
      </c>
      <c r="J167" s="139" t="e">
        <f t="shared" si="89"/>
        <v>#NUM!</v>
      </c>
      <c r="K167" s="155">
        <f t="shared" si="84"/>
        <v>-1</v>
      </c>
      <c r="N167" s="139">
        <f t="shared" si="82"/>
        <v>0</v>
      </c>
      <c r="O167" s="139">
        <f t="shared" si="83"/>
        <v>1</v>
      </c>
      <c r="P167" s="155"/>
      <c r="Q167" s="186"/>
      <c r="R167" s="186" t="s">
        <v>873</v>
      </c>
      <c r="S167" s="139"/>
      <c r="V167" s="139"/>
    </row>
    <row r="168" spans="1:22">
      <c r="A168" s="186">
        <f t="shared" si="90"/>
        <v>12</v>
      </c>
      <c r="E168" s="141" t="s">
        <v>1829</v>
      </c>
      <c r="F168" s="141" t="s">
        <v>1756</v>
      </c>
      <c r="G168" s="154" t="str">
        <f t="shared" si="86"/>
        <v>12/</v>
      </c>
      <c r="H168" s="141" t="str">
        <f t="shared" si="87"/>
        <v>12/</v>
      </c>
      <c r="I168" s="139" t="e">
        <f t="shared" si="88"/>
        <v>#NUM!</v>
      </c>
      <c r="J168" s="139" t="e">
        <f t="shared" si="89"/>
        <v>#NUM!</v>
      </c>
      <c r="K168" s="155">
        <f t="shared" si="84"/>
        <v>-1</v>
      </c>
      <c r="N168" s="139">
        <f t="shared" si="82"/>
        <v>0</v>
      </c>
      <c r="O168" s="139">
        <f t="shared" si="83"/>
        <v>1</v>
      </c>
      <c r="P168" s="155"/>
      <c r="Q168" s="186"/>
      <c r="R168" s="186" t="s">
        <v>873</v>
      </c>
      <c r="S168" s="139"/>
      <c r="V168" s="139"/>
    </row>
    <row r="169" spans="1:22">
      <c r="A169" s="186">
        <f t="shared" si="90"/>
        <v>12</v>
      </c>
      <c r="E169" s="141" t="s">
        <v>1829</v>
      </c>
      <c r="F169" s="141" t="s">
        <v>1756</v>
      </c>
      <c r="G169" s="154" t="str">
        <f t="shared" si="86"/>
        <v>12/</v>
      </c>
      <c r="H169" s="141" t="str">
        <f t="shared" si="87"/>
        <v>12/</v>
      </c>
      <c r="I169" s="139" t="e">
        <f t="shared" si="88"/>
        <v>#NUM!</v>
      </c>
      <c r="J169" s="139" t="e">
        <f t="shared" si="89"/>
        <v>#NUM!</v>
      </c>
      <c r="K169" s="155">
        <f t="shared" si="84"/>
        <v>-1</v>
      </c>
      <c r="N169" s="139">
        <f t="shared" si="82"/>
        <v>0</v>
      </c>
      <c r="O169" s="139">
        <f t="shared" si="83"/>
        <v>1</v>
      </c>
      <c r="P169" s="155"/>
      <c r="Q169" s="186"/>
      <c r="R169" s="186" t="s">
        <v>873</v>
      </c>
      <c r="S169" s="139"/>
      <c r="V169" s="139"/>
    </row>
    <row r="170" spans="1:22">
      <c r="A170" s="186">
        <f t="shared" si="90"/>
        <v>12</v>
      </c>
      <c r="E170" s="141" t="s">
        <v>1829</v>
      </c>
      <c r="F170" s="141" t="s">
        <v>1756</v>
      </c>
      <c r="G170" s="154" t="str">
        <f t="shared" si="86"/>
        <v>12/</v>
      </c>
      <c r="H170" s="141" t="str">
        <f t="shared" si="87"/>
        <v>12/</v>
      </c>
      <c r="I170" s="139" t="e">
        <f t="shared" si="88"/>
        <v>#NUM!</v>
      </c>
      <c r="J170" s="139" t="e">
        <f t="shared" si="89"/>
        <v>#NUM!</v>
      </c>
      <c r="K170" s="155">
        <f t="shared" si="84"/>
        <v>-1</v>
      </c>
      <c r="N170" s="139">
        <f t="shared" si="82"/>
        <v>0</v>
      </c>
      <c r="O170" s="139">
        <f t="shared" si="83"/>
        <v>1</v>
      </c>
      <c r="P170" s="155"/>
      <c r="Q170" s="186"/>
      <c r="R170" s="186" t="s">
        <v>873</v>
      </c>
      <c r="S170" s="139"/>
      <c r="V170" s="139"/>
    </row>
    <row r="171" spans="1:22">
      <c r="A171" s="186">
        <f t="shared" si="90"/>
        <v>12</v>
      </c>
      <c r="E171" s="141" t="s">
        <v>1829</v>
      </c>
      <c r="F171" s="141" t="s">
        <v>1756</v>
      </c>
      <c r="G171" s="154" t="str">
        <f t="shared" si="86"/>
        <v>12/</v>
      </c>
      <c r="H171" s="141" t="str">
        <f t="shared" si="87"/>
        <v>12/</v>
      </c>
      <c r="I171" s="139" t="e">
        <f t="shared" si="88"/>
        <v>#NUM!</v>
      </c>
      <c r="J171" s="139" t="e">
        <f t="shared" si="89"/>
        <v>#NUM!</v>
      </c>
      <c r="K171" s="155">
        <f t="shared" si="84"/>
        <v>-1</v>
      </c>
      <c r="N171" s="139">
        <f t="shared" si="82"/>
        <v>0</v>
      </c>
      <c r="O171" s="139">
        <f t="shared" si="83"/>
        <v>1</v>
      </c>
      <c r="P171" s="155"/>
      <c r="Q171" s="186"/>
      <c r="R171" s="186" t="s">
        <v>873</v>
      </c>
      <c r="S171" s="139"/>
      <c r="V171" s="139"/>
    </row>
    <row r="172" spans="1:22">
      <c r="A172" s="186">
        <f t="shared" si="90"/>
        <v>12</v>
      </c>
      <c r="E172" s="141" t="s">
        <v>1829</v>
      </c>
      <c r="F172" s="141" t="s">
        <v>1756</v>
      </c>
      <c r="G172" s="154" t="str">
        <f t="shared" si="86"/>
        <v>12/</v>
      </c>
      <c r="H172" s="141" t="str">
        <f t="shared" si="87"/>
        <v>12/</v>
      </c>
      <c r="I172" s="139" t="e">
        <f t="shared" si="88"/>
        <v>#NUM!</v>
      </c>
      <c r="J172" s="139" t="e">
        <f t="shared" si="89"/>
        <v>#NUM!</v>
      </c>
      <c r="K172" s="155">
        <f t="shared" si="84"/>
        <v>-1</v>
      </c>
      <c r="N172" s="139">
        <f t="shared" si="82"/>
        <v>0</v>
      </c>
      <c r="O172" s="139">
        <f t="shared" si="83"/>
        <v>1</v>
      </c>
      <c r="P172" s="155"/>
      <c r="Q172" s="186"/>
      <c r="R172" s="186" t="s">
        <v>873</v>
      </c>
      <c r="S172" s="139"/>
      <c r="V172" s="139"/>
    </row>
    <row r="173" spans="1:22">
      <c r="A173" s="186">
        <f t="shared" si="90"/>
        <v>12</v>
      </c>
      <c r="E173" s="141" t="s">
        <v>1829</v>
      </c>
      <c r="F173" s="141" t="s">
        <v>1756</v>
      </c>
      <c r="G173" s="154" t="str">
        <f t="shared" si="86"/>
        <v>12/</v>
      </c>
      <c r="H173" s="141" t="str">
        <f t="shared" si="87"/>
        <v>12/</v>
      </c>
      <c r="I173" s="139" t="e">
        <f t="shared" si="88"/>
        <v>#NUM!</v>
      </c>
      <c r="J173" s="139" t="e">
        <f t="shared" si="89"/>
        <v>#NUM!</v>
      </c>
      <c r="K173" s="155">
        <f t="shared" si="84"/>
        <v>-1</v>
      </c>
      <c r="N173" s="139">
        <f t="shared" si="82"/>
        <v>0</v>
      </c>
      <c r="O173" s="139">
        <f t="shared" si="83"/>
        <v>1</v>
      </c>
      <c r="P173" s="155"/>
      <c r="Q173" s="186"/>
      <c r="R173" s="186" t="s">
        <v>873</v>
      </c>
      <c r="S173" s="139"/>
      <c r="V173" s="139"/>
    </row>
    <row r="174" spans="1:22">
      <c r="A174" s="186">
        <f t="shared" si="90"/>
        <v>12</v>
      </c>
      <c r="E174" s="141" t="s">
        <v>1829</v>
      </c>
      <c r="F174" s="141" t="s">
        <v>1756</v>
      </c>
      <c r="G174" s="154" t="str">
        <f t="shared" si="86"/>
        <v>12/</v>
      </c>
      <c r="H174" s="141" t="str">
        <f t="shared" si="87"/>
        <v>12/</v>
      </c>
      <c r="I174" s="139" t="e">
        <f t="shared" si="88"/>
        <v>#NUM!</v>
      </c>
      <c r="J174" s="139" t="e">
        <f t="shared" si="89"/>
        <v>#NUM!</v>
      </c>
      <c r="K174" s="155">
        <f t="shared" si="84"/>
        <v>-1</v>
      </c>
      <c r="N174" s="139">
        <f t="shared" si="82"/>
        <v>0</v>
      </c>
      <c r="O174" s="139">
        <f t="shared" si="83"/>
        <v>1</v>
      </c>
      <c r="P174" s="155"/>
      <c r="Q174" s="186"/>
      <c r="R174" s="186" t="s">
        <v>873</v>
      </c>
      <c r="S174" s="139"/>
      <c r="V174" s="139"/>
    </row>
    <row r="175" spans="1:22">
      <c r="A175" s="186">
        <f t="shared" si="90"/>
        <v>12</v>
      </c>
      <c r="E175" s="141" t="s">
        <v>1829</v>
      </c>
      <c r="F175" s="141" t="s">
        <v>1756</v>
      </c>
      <c r="G175" s="154" t="str">
        <f t="shared" si="86"/>
        <v>12/</v>
      </c>
      <c r="H175" s="141" t="str">
        <f t="shared" si="87"/>
        <v>12/</v>
      </c>
      <c r="I175" s="139" t="e">
        <f t="shared" si="88"/>
        <v>#NUM!</v>
      </c>
      <c r="J175" s="139" t="e">
        <f t="shared" si="89"/>
        <v>#NUM!</v>
      </c>
      <c r="K175" s="155">
        <f t="shared" si="84"/>
        <v>-1</v>
      </c>
      <c r="N175" s="139">
        <f t="shared" si="82"/>
        <v>0</v>
      </c>
      <c r="O175" s="139">
        <f t="shared" si="83"/>
        <v>1</v>
      </c>
      <c r="P175" s="155"/>
      <c r="Q175" s="186"/>
      <c r="R175" s="186" t="s">
        <v>873</v>
      </c>
      <c r="S175" s="139"/>
      <c r="V175" s="139"/>
    </row>
    <row r="176" spans="1:22">
      <c r="A176" s="186">
        <f t="shared" si="90"/>
        <v>12</v>
      </c>
      <c r="E176" s="141" t="s">
        <v>1829</v>
      </c>
      <c r="F176" s="141" t="s">
        <v>1756</v>
      </c>
      <c r="G176" s="154" t="str">
        <f t="shared" si="86"/>
        <v>12/</v>
      </c>
      <c r="H176" s="141" t="str">
        <f t="shared" si="87"/>
        <v>12/</v>
      </c>
      <c r="I176" s="139" t="e">
        <f t="shared" si="88"/>
        <v>#NUM!</v>
      </c>
      <c r="J176" s="139" t="e">
        <f t="shared" si="89"/>
        <v>#NUM!</v>
      </c>
      <c r="K176" s="155">
        <f t="shared" si="84"/>
        <v>-1</v>
      </c>
      <c r="N176" s="139">
        <f t="shared" si="82"/>
        <v>0</v>
      </c>
      <c r="O176" s="139">
        <f t="shared" si="83"/>
        <v>1</v>
      </c>
      <c r="P176" s="155"/>
      <c r="Q176" s="186"/>
      <c r="R176" s="186" t="s">
        <v>873</v>
      </c>
      <c r="S176" s="139"/>
      <c r="V176" s="139"/>
    </row>
    <row r="177" spans="1:22">
      <c r="A177" s="186">
        <f t="shared" si="90"/>
        <v>12</v>
      </c>
      <c r="E177" s="141" t="s">
        <v>1829</v>
      </c>
      <c r="F177" s="141" t="s">
        <v>1756</v>
      </c>
      <c r="G177" s="154" t="str">
        <f t="shared" si="86"/>
        <v>12/</v>
      </c>
      <c r="H177" s="141" t="str">
        <f t="shared" si="87"/>
        <v>12/</v>
      </c>
      <c r="I177" s="139" t="e">
        <f t="shared" si="88"/>
        <v>#NUM!</v>
      </c>
      <c r="J177" s="139" t="e">
        <f t="shared" si="89"/>
        <v>#NUM!</v>
      </c>
      <c r="K177" s="155">
        <f t="shared" si="84"/>
        <v>-1</v>
      </c>
      <c r="N177" s="139">
        <f t="shared" si="82"/>
        <v>0</v>
      </c>
      <c r="O177" s="139">
        <f t="shared" si="83"/>
        <v>1</v>
      </c>
      <c r="P177" s="155"/>
      <c r="Q177" s="186"/>
      <c r="R177" s="186" t="s">
        <v>873</v>
      </c>
      <c r="S177" s="139"/>
      <c r="V177" s="139"/>
    </row>
    <row r="178" spans="1:22">
      <c r="A178" s="186">
        <f t="shared" si="90"/>
        <v>12</v>
      </c>
      <c r="E178" s="141" t="s">
        <v>1829</v>
      </c>
      <c r="F178" s="141" t="s">
        <v>1756</v>
      </c>
      <c r="G178" s="154" t="str">
        <f t="shared" si="86"/>
        <v>12/</v>
      </c>
      <c r="H178" s="141" t="str">
        <f t="shared" si="87"/>
        <v>12/</v>
      </c>
      <c r="I178" s="139" t="e">
        <f t="shared" si="88"/>
        <v>#NUM!</v>
      </c>
      <c r="J178" s="139" t="e">
        <f t="shared" si="89"/>
        <v>#NUM!</v>
      </c>
      <c r="K178" s="155">
        <f t="shared" si="84"/>
        <v>-1</v>
      </c>
      <c r="N178" s="139">
        <f t="shared" si="82"/>
        <v>0</v>
      </c>
      <c r="O178" s="139">
        <f t="shared" si="83"/>
        <v>1</v>
      </c>
      <c r="P178" s="155"/>
      <c r="Q178" s="186"/>
      <c r="R178" s="186" t="s">
        <v>873</v>
      </c>
      <c r="S178" s="139"/>
      <c r="V178" s="139"/>
    </row>
    <row r="179" spans="1:22">
      <c r="A179" s="186">
        <f t="shared" si="90"/>
        <v>12</v>
      </c>
      <c r="E179" s="141" t="s">
        <v>1829</v>
      </c>
      <c r="F179" s="141" t="s">
        <v>1756</v>
      </c>
      <c r="G179" s="154" t="str">
        <f t="shared" si="86"/>
        <v>12/</v>
      </c>
      <c r="H179" s="141" t="str">
        <f t="shared" si="87"/>
        <v>12/</v>
      </c>
      <c r="I179" s="139" t="e">
        <f t="shared" ref="I179:I242" si="91">DAY(K179)</f>
        <v>#NUM!</v>
      </c>
      <c r="J179" s="139" t="e">
        <f t="shared" ref="J179:J242" si="92">MONTH(K179)</f>
        <v>#NUM!</v>
      </c>
      <c r="K179" s="155">
        <f t="shared" si="84"/>
        <v>-1</v>
      </c>
      <c r="N179" s="139">
        <f t="shared" ref="N179:N242" si="93">DAY(P179)</f>
        <v>0</v>
      </c>
      <c r="O179" s="139">
        <f t="shared" ref="O179:O242" si="94">MONTH(P179)</f>
        <v>1</v>
      </c>
      <c r="P179" s="155"/>
      <c r="Q179" s="186"/>
      <c r="R179" s="186" t="s">
        <v>873</v>
      </c>
      <c r="S179" s="139"/>
      <c r="V179" s="139"/>
    </row>
    <row r="180" spans="1:22">
      <c r="A180" s="186">
        <f t="shared" si="90"/>
        <v>12</v>
      </c>
      <c r="E180" s="141" t="s">
        <v>1829</v>
      </c>
      <c r="F180" s="141" t="s">
        <v>1756</v>
      </c>
      <c r="G180" s="154" t="str">
        <f t="shared" si="86"/>
        <v>12/</v>
      </c>
      <c r="H180" s="141" t="str">
        <f t="shared" si="87"/>
        <v>12/</v>
      </c>
      <c r="I180" s="139" t="e">
        <f t="shared" si="91"/>
        <v>#NUM!</v>
      </c>
      <c r="J180" s="139" t="e">
        <f t="shared" si="92"/>
        <v>#NUM!</v>
      </c>
      <c r="K180" s="155">
        <f t="shared" si="84"/>
        <v>-1</v>
      </c>
      <c r="N180" s="139">
        <f t="shared" si="93"/>
        <v>0</v>
      </c>
      <c r="O180" s="139">
        <f t="shared" si="94"/>
        <v>1</v>
      </c>
      <c r="P180" s="155"/>
      <c r="Q180" s="186"/>
      <c r="R180" s="186" t="s">
        <v>873</v>
      </c>
      <c r="S180" s="139"/>
      <c r="V180" s="139"/>
    </row>
    <row r="181" spans="1:22">
      <c r="A181" s="186">
        <f t="shared" si="90"/>
        <v>12</v>
      </c>
      <c r="E181" s="141" t="s">
        <v>1829</v>
      </c>
      <c r="F181" s="141" t="s">
        <v>1756</v>
      </c>
      <c r="G181" s="154" t="str">
        <f t="shared" si="86"/>
        <v>12/</v>
      </c>
      <c r="H181" s="141" t="str">
        <f t="shared" si="87"/>
        <v>12/</v>
      </c>
      <c r="I181" s="139" t="e">
        <f t="shared" si="91"/>
        <v>#NUM!</v>
      </c>
      <c r="J181" s="139" t="e">
        <f t="shared" si="92"/>
        <v>#NUM!</v>
      </c>
      <c r="K181" s="155">
        <f t="shared" si="84"/>
        <v>-1</v>
      </c>
      <c r="N181" s="139">
        <f t="shared" si="93"/>
        <v>0</v>
      </c>
      <c r="O181" s="139">
        <f t="shared" si="94"/>
        <v>1</v>
      </c>
      <c r="P181" s="155"/>
      <c r="Q181" s="186"/>
      <c r="R181" s="186" t="s">
        <v>873</v>
      </c>
      <c r="S181" s="139"/>
      <c r="V181" s="139"/>
    </row>
    <row r="182" spans="1:22">
      <c r="A182" s="186">
        <f t="shared" si="90"/>
        <v>12</v>
      </c>
      <c r="E182" s="141" t="s">
        <v>1829</v>
      </c>
      <c r="F182" s="141" t="s">
        <v>1756</v>
      </c>
      <c r="G182" s="154" t="str">
        <f t="shared" si="86"/>
        <v>12/</v>
      </c>
      <c r="H182" s="141" t="str">
        <f t="shared" si="87"/>
        <v>12/</v>
      </c>
      <c r="I182" s="139" t="e">
        <f t="shared" si="91"/>
        <v>#NUM!</v>
      </c>
      <c r="J182" s="139" t="e">
        <f t="shared" si="92"/>
        <v>#NUM!</v>
      </c>
      <c r="K182" s="155">
        <f t="shared" si="84"/>
        <v>-1</v>
      </c>
      <c r="N182" s="139">
        <f t="shared" si="93"/>
        <v>0</v>
      </c>
      <c r="O182" s="139">
        <f t="shared" si="94"/>
        <v>1</v>
      </c>
      <c r="P182" s="155"/>
      <c r="Q182" s="186"/>
      <c r="R182" s="186" t="s">
        <v>873</v>
      </c>
      <c r="S182" s="139"/>
      <c r="V182" s="139"/>
    </row>
    <row r="183" spans="1:22">
      <c r="A183" s="186">
        <f t="shared" si="90"/>
        <v>12</v>
      </c>
      <c r="E183" s="141" t="s">
        <v>1829</v>
      </c>
      <c r="F183" s="141" t="s">
        <v>1756</v>
      </c>
      <c r="G183" s="154" t="str">
        <f t="shared" si="86"/>
        <v>12/</v>
      </c>
      <c r="H183" s="141" t="str">
        <f t="shared" si="87"/>
        <v>12/</v>
      </c>
      <c r="I183" s="139" t="e">
        <f t="shared" si="91"/>
        <v>#NUM!</v>
      </c>
      <c r="J183" s="139" t="e">
        <f t="shared" si="92"/>
        <v>#NUM!</v>
      </c>
      <c r="K183" s="155">
        <f t="shared" si="84"/>
        <v>-1</v>
      </c>
      <c r="N183" s="139">
        <f t="shared" si="93"/>
        <v>0</v>
      </c>
      <c r="O183" s="139">
        <f t="shared" si="94"/>
        <v>1</v>
      </c>
      <c r="P183" s="155"/>
      <c r="Q183" s="186"/>
      <c r="R183" s="186" t="s">
        <v>873</v>
      </c>
      <c r="S183" s="139"/>
      <c r="V183" s="139"/>
    </row>
    <row r="184" spans="1:22">
      <c r="A184" s="186">
        <f t="shared" si="90"/>
        <v>12</v>
      </c>
      <c r="E184" s="141" t="s">
        <v>1829</v>
      </c>
      <c r="F184" s="141" t="s">
        <v>1756</v>
      </c>
      <c r="G184" s="154" t="str">
        <f t="shared" si="86"/>
        <v>12/</v>
      </c>
      <c r="H184" s="141" t="str">
        <f t="shared" si="87"/>
        <v>12/</v>
      </c>
      <c r="I184" s="139" t="e">
        <f t="shared" si="91"/>
        <v>#NUM!</v>
      </c>
      <c r="J184" s="139" t="e">
        <f t="shared" si="92"/>
        <v>#NUM!</v>
      </c>
      <c r="K184" s="155">
        <f t="shared" si="84"/>
        <v>-1</v>
      </c>
      <c r="N184" s="139">
        <f t="shared" si="93"/>
        <v>0</v>
      </c>
      <c r="O184" s="139">
        <f t="shared" si="94"/>
        <v>1</v>
      </c>
      <c r="P184" s="155"/>
      <c r="Q184" s="186"/>
      <c r="R184" s="186" t="s">
        <v>873</v>
      </c>
      <c r="S184" s="139"/>
      <c r="V184" s="139"/>
    </row>
    <row r="185" spans="1:22">
      <c r="A185" s="186">
        <f t="shared" si="90"/>
        <v>12</v>
      </c>
      <c r="E185" s="141" t="s">
        <v>1829</v>
      </c>
      <c r="F185" s="141" t="s">
        <v>1756</v>
      </c>
      <c r="G185" s="154" t="str">
        <f t="shared" si="86"/>
        <v>12/</v>
      </c>
      <c r="H185" s="141" t="str">
        <f t="shared" si="87"/>
        <v>12/</v>
      </c>
      <c r="I185" s="139" t="e">
        <f t="shared" si="91"/>
        <v>#NUM!</v>
      </c>
      <c r="J185" s="139" t="e">
        <f t="shared" si="92"/>
        <v>#NUM!</v>
      </c>
      <c r="K185" s="155">
        <f t="shared" si="84"/>
        <v>-1</v>
      </c>
      <c r="N185" s="139">
        <f t="shared" si="93"/>
        <v>0</v>
      </c>
      <c r="O185" s="139">
        <f t="shared" si="94"/>
        <v>1</v>
      </c>
      <c r="P185" s="155"/>
      <c r="Q185" s="186"/>
      <c r="R185" s="186" t="s">
        <v>873</v>
      </c>
      <c r="S185" s="139"/>
      <c r="V185" s="139"/>
    </row>
    <row r="186" spans="1:22">
      <c r="A186" s="186">
        <f t="shared" si="90"/>
        <v>12</v>
      </c>
      <c r="E186" s="141" t="s">
        <v>1829</v>
      </c>
      <c r="F186" s="141" t="s">
        <v>1756</v>
      </c>
      <c r="G186" s="154" t="str">
        <f t="shared" si="86"/>
        <v>12/</v>
      </c>
      <c r="H186" s="141" t="str">
        <f t="shared" si="87"/>
        <v>12/</v>
      </c>
      <c r="I186" s="139" t="e">
        <f t="shared" si="91"/>
        <v>#NUM!</v>
      </c>
      <c r="J186" s="139" t="e">
        <f t="shared" si="92"/>
        <v>#NUM!</v>
      </c>
      <c r="K186" s="155">
        <f t="shared" ref="K186:K249" si="95">P186-1</f>
        <v>-1</v>
      </c>
      <c r="N186" s="139">
        <f t="shared" si="93"/>
        <v>0</v>
      </c>
      <c r="O186" s="139">
        <f t="shared" si="94"/>
        <v>1</v>
      </c>
      <c r="P186" s="155"/>
      <c r="Q186" s="186"/>
      <c r="R186" s="186" t="s">
        <v>873</v>
      </c>
      <c r="S186" s="139"/>
      <c r="V186" s="139"/>
    </row>
    <row r="187" spans="1:22">
      <c r="A187" s="186">
        <f t="shared" si="90"/>
        <v>12</v>
      </c>
      <c r="E187" s="141" t="s">
        <v>1829</v>
      </c>
      <c r="F187" s="141" t="s">
        <v>1756</v>
      </c>
      <c r="G187" s="154" t="str">
        <f t="shared" si="86"/>
        <v>12/</v>
      </c>
      <c r="H187" s="141" t="str">
        <f t="shared" si="87"/>
        <v>12/</v>
      </c>
      <c r="I187" s="139" t="e">
        <f t="shared" si="91"/>
        <v>#NUM!</v>
      </c>
      <c r="J187" s="139" t="e">
        <f t="shared" si="92"/>
        <v>#NUM!</v>
      </c>
      <c r="K187" s="155">
        <f t="shared" si="95"/>
        <v>-1</v>
      </c>
      <c r="N187" s="139">
        <f t="shared" si="93"/>
        <v>0</v>
      </c>
      <c r="O187" s="139">
        <f t="shared" si="94"/>
        <v>1</v>
      </c>
      <c r="P187" s="155"/>
      <c r="Q187" s="186"/>
      <c r="R187" s="186" t="s">
        <v>873</v>
      </c>
      <c r="S187" s="139"/>
      <c r="V187" s="139"/>
    </row>
    <row r="188" spans="1:22">
      <c r="A188" s="186">
        <f t="shared" si="90"/>
        <v>12</v>
      </c>
      <c r="E188" s="141" t="s">
        <v>1829</v>
      </c>
      <c r="F188" s="141" t="s">
        <v>1756</v>
      </c>
      <c r="G188" s="154" t="str">
        <f t="shared" si="86"/>
        <v>12/</v>
      </c>
      <c r="H188" s="141" t="str">
        <f t="shared" si="87"/>
        <v>12/</v>
      </c>
      <c r="I188" s="139" t="e">
        <f t="shared" si="91"/>
        <v>#NUM!</v>
      </c>
      <c r="J188" s="139" t="e">
        <f t="shared" si="92"/>
        <v>#NUM!</v>
      </c>
      <c r="K188" s="155">
        <f t="shared" si="95"/>
        <v>-1</v>
      </c>
      <c r="N188" s="139">
        <f t="shared" si="93"/>
        <v>0</v>
      </c>
      <c r="O188" s="139">
        <f t="shared" si="94"/>
        <v>1</v>
      </c>
      <c r="P188" s="155"/>
      <c r="Q188" s="186"/>
      <c r="R188" s="186" t="s">
        <v>873</v>
      </c>
      <c r="S188" s="139"/>
      <c r="V188" s="139"/>
    </row>
    <row r="189" spans="1:22">
      <c r="A189" s="186">
        <f t="shared" si="90"/>
        <v>12</v>
      </c>
      <c r="E189" s="141" t="s">
        <v>1829</v>
      </c>
      <c r="F189" s="141" t="s">
        <v>1756</v>
      </c>
      <c r="G189" s="154" t="str">
        <f t="shared" si="86"/>
        <v>12/</v>
      </c>
      <c r="H189" s="141" t="str">
        <f t="shared" si="87"/>
        <v>12/</v>
      </c>
      <c r="I189" s="139" t="e">
        <f t="shared" si="91"/>
        <v>#NUM!</v>
      </c>
      <c r="J189" s="139" t="e">
        <f t="shared" si="92"/>
        <v>#NUM!</v>
      </c>
      <c r="K189" s="155">
        <f t="shared" si="95"/>
        <v>-1</v>
      </c>
      <c r="N189" s="139">
        <f t="shared" si="93"/>
        <v>0</v>
      </c>
      <c r="O189" s="139">
        <f t="shared" si="94"/>
        <v>1</v>
      </c>
      <c r="P189" s="155"/>
      <c r="Q189" s="186"/>
      <c r="R189" s="186" t="s">
        <v>873</v>
      </c>
      <c r="S189" s="139"/>
      <c r="V189" s="139"/>
    </row>
    <row r="190" spans="1:22">
      <c r="A190" s="186">
        <f t="shared" si="90"/>
        <v>12</v>
      </c>
      <c r="E190" s="141" t="s">
        <v>1829</v>
      </c>
      <c r="F190" s="141" t="s">
        <v>1756</v>
      </c>
      <c r="G190" s="154" t="str">
        <f t="shared" si="86"/>
        <v>12/</v>
      </c>
      <c r="H190" s="141" t="str">
        <f t="shared" si="87"/>
        <v>12/</v>
      </c>
      <c r="I190" s="139" t="e">
        <f t="shared" si="91"/>
        <v>#NUM!</v>
      </c>
      <c r="J190" s="139" t="e">
        <f t="shared" si="92"/>
        <v>#NUM!</v>
      </c>
      <c r="K190" s="155">
        <f t="shared" si="95"/>
        <v>-1</v>
      </c>
      <c r="N190" s="139">
        <f t="shared" si="93"/>
        <v>0</v>
      </c>
      <c r="O190" s="139">
        <f t="shared" si="94"/>
        <v>1</v>
      </c>
      <c r="P190" s="155"/>
      <c r="Q190" s="186"/>
      <c r="R190" s="186" t="s">
        <v>873</v>
      </c>
      <c r="S190" s="139"/>
      <c r="V190" s="139"/>
    </row>
    <row r="191" spans="1:22">
      <c r="A191" s="186">
        <f t="shared" si="90"/>
        <v>12</v>
      </c>
      <c r="E191" s="141" t="s">
        <v>1829</v>
      </c>
      <c r="F191" s="141" t="s">
        <v>1756</v>
      </c>
      <c r="G191" s="154" t="str">
        <f t="shared" si="86"/>
        <v>12/</v>
      </c>
      <c r="H191" s="141" t="str">
        <f t="shared" si="87"/>
        <v>12/</v>
      </c>
      <c r="I191" s="139" t="e">
        <f t="shared" si="91"/>
        <v>#NUM!</v>
      </c>
      <c r="J191" s="139" t="e">
        <f t="shared" si="92"/>
        <v>#NUM!</v>
      </c>
      <c r="K191" s="155">
        <f t="shared" si="95"/>
        <v>-1</v>
      </c>
      <c r="N191" s="139">
        <f t="shared" si="93"/>
        <v>0</v>
      </c>
      <c r="O191" s="139">
        <f t="shared" si="94"/>
        <v>1</v>
      </c>
      <c r="P191" s="155"/>
      <c r="Q191" s="186"/>
      <c r="R191" s="186" t="s">
        <v>873</v>
      </c>
      <c r="S191" s="139"/>
      <c r="V191" s="139"/>
    </row>
    <row r="192" spans="1:22">
      <c r="A192" s="186">
        <f t="shared" si="90"/>
        <v>12</v>
      </c>
      <c r="E192" s="141" t="s">
        <v>1829</v>
      </c>
      <c r="F192" s="141" t="s">
        <v>1756</v>
      </c>
      <c r="G192" s="154" t="str">
        <f t="shared" si="86"/>
        <v>12/</v>
      </c>
      <c r="H192" s="141" t="str">
        <f t="shared" si="87"/>
        <v>12/</v>
      </c>
      <c r="I192" s="139" t="e">
        <f t="shared" si="91"/>
        <v>#NUM!</v>
      </c>
      <c r="J192" s="139" t="e">
        <f t="shared" si="92"/>
        <v>#NUM!</v>
      </c>
      <c r="K192" s="155">
        <f t="shared" si="95"/>
        <v>-1</v>
      </c>
      <c r="N192" s="139">
        <f t="shared" si="93"/>
        <v>0</v>
      </c>
      <c r="O192" s="139">
        <f t="shared" si="94"/>
        <v>1</v>
      </c>
      <c r="P192" s="155"/>
      <c r="Q192" s="186"/>
      <c r="R192" s="186" t="s">
        <v>873</v>
      </c>
      <c r="S192" s="139"/>
      <c r="V192" s="139"/>
    </row>
    <row r="193" spans="1:22">
      <c r="A193" s="186">
        <f t="shared" si="90"/>
        <v>12</v>
      </c>
      <c r="E193" s="141" t="s">
        <v>1829</v>
      </c>
      <c r="F193" s="141" t="s">
        <v>1756</v>
      </c>
      <c r="G193" s="154" t="str">
        <f t="shared" ref="G193:G256" si="96">A193&amp;"/"&amp;B193</f>
        <v>12/</v>
      </c>
      <c r="H193" s="141" t="str">
        <f t="shared" ref="H193:H256" si="97">A193&amp;"/"&amp;B193</f>
        <v>12/</v>
      </c>
      <c r="I193" s="139" t="e">
        <f t="shared" si="91"/>
        <v>#NUM!</v>
      </c>
      <c r="J193" s="139" t="e">
        <f t="shared" si="92"/>
        <v>#NUM!</v>
      </c>
      <c r="K193" s="155">
        <f t="shared" si="95"/>
        <v>-1</v>
      </c>
      <c r="N193" s="139">
        <f t="shared" si="93"/>
        <v>0</v>
      </c>
      <c r="O193" s="139">
        <f t="shared" si="94"/>
        <v>1</v>
      </c>
      <c r="P193" s="155"/>
      <c r="Q193" s="186"/>
      <c r="R193" s="186" t="s">
        <v>873</v>
      </c>
      <c r="S193" s="139"/>
      <c r="V193" s="139"/>
    </row>
    <row r="194" spans="1:22">
      <c r="A194" s="186">
        <f t="shared" si="90"/>
        <v>12</v>
      </c>
      <c r="E194" s="141" t="s">
        <v>1829</v>
      </c>
      <c r="F194" s="141" t="s">
        <v>1756</v>
      </c>
      <c r="G194" s="154" t="str">
        <f t="shared" si="96"/>
        <v>12/</v>
      </c>
      <c r="H194" s="141" t="str">
        <f t="shared" si="97"/>
        <v>12/</v>
      </c>
      <c r="I194" s="139" t="e">
        <f t="shared" si="91"/>
        <v>#NUM!</v>
      </c>
      <c r="J194" s="139" t="e">
        <f t="shared" si="92"/>
        <v>#NUM!</v>
      </c>
      <c r="K194" s="155">
        <f t="shared" si="95"/>
        <v>-1</v>
      </c>
      <c r="N194" s="139">
        <f t="shared" si="93"/>
        <v>0</v>
      </c>
      <c r="O194" s="139">
        <f t="shared" si="94"/>
        <v>1</v>
      </c>
      <c r="P194" s="155"/>
      <c r="Q194" s="186"/>
      <c r="R194" s="186" t="s">
        <v>873</v>
      </c>
      <c r="S194" s="139"/>
      <c r="V194" s="139"/>
    </row>
    <row r="195" spans="1:22">
      <c r="A195" s="186">
        <f t="shared" si="90"/>
        <v>12</v>
      </c>
      <c r="E195" s="141" t="s">
        <v>1829</v>
      </c>
      <c r="F195" s="141" t="s">
        <v>1756</v>
      </c>
      <c r="G195" s="154" t="str">
        <f t="shared" si="96"/>
        <v>12/</v>
      </c>
      <c r="H195" s="141" t="str">
        <f t="shared" si="97"/>
        <v>12/</v>
      </c>
      <c r="I195" s="139" t="e">
        <f t="shared" si="91"/>
        <v>#NUM!</v>
      </c>
      <c r="J195" s="139" t="e">
        <f t="shared" si="92"/>
        <v>#NUM!</v>
      </c>
      <c r="K195" s="155">
        <f t="shared" si="95"/>
        <v>-1</v>
      </c>
      <c r="N195" s="139">
        <f t="shared" si="93"/>
        <v>0</v>
      </c>
      <c r="O195" s="139">
        <f t="shared" si="94"/>
        <v>1</v>
      </c>
      <c r="P195" s="155"/>
      <c r="Q195" s="186"/>
      <c r="R195" s="186" t="s">
        <v>873</v>
      </c>
      <c r="S195" s="139"/>
      <c r="V195" s="139"/>
    </row>
    <row r="196" spans="1:22">
      <c r="A196" s="186">
        <f t="shared" si="90"/>
        <v>12</v>
      </c>
      <c r="E196" s="141" t="s">
        <v>1829</v>
      </c>
      <c r="F196" s="141" t="s">
        <v>1756</v>
      </c>
      <c r="G196" s="154" t="str">
        <f t="shared" si="96"/>
        <v>12/</v>
      </c>
      <c r="H196" s="141" t="str">
        <f t="shared" si="97"/>
        <v>12/</v>
      </c>
      <c r="I196" s="139" t="e">
        <f t="shared" si="91"/>
        <v>#NUM!</v>
      </c>
      <c r="J196" s="139" t="e">
        <f t="shared" si="92"/>
        <v>#NUM!</v>
      </c>
      <c r="K196" s="155">
        <f t="shared" si="95"/>
        <v>-1</v>
      </c>
      <c r="N196" s="139">
        <f t="shared" si="93"/>
        <v>0</v>
      </c>
      <c r="O196" s="139">
        <f t="shared" si="94"/>
        <v>1</v>
      </c>
      <c r="P196" s="155"/>
      <c r="Q196" s="186"/>
      <c r="R196" s="186" t="s">
        <v>873</v>
      </c>
      <c r="S196" s="139"/>
      <c r="V196" s="139"/>
    </row>
    <row r="197" spans="1:22">
      <c r="A197" s="186">
        <f t="shared" si="90"/>
        <v>12</v>
      </c>
      <c r="E197" s="141" t="s">
        <v>1829</v>
      </c>
      <c r="F197" s="141" t="s">
        <v>1756</v>
      </c>
      <c r="G197" s="154" t="str">
        <f t="shared" si="96"/>
        <v>12/</v>
      </c>
      <c r="H197" s="141" t="str">
        <f t="shared" si="97"/>
        <v>12/</v>
      </c>
      <c r="I197" s="139" t="e">
        <f t="shared" si="91"/>
        <v>#NUM!</v>
      </c>
      <c r="J197" s="139" t="e">
        <f t="shared" si="92"/>
        <v>#NUM!</v>
      </c>
      <c r="K197" s="155">
        <f t="shared" si="95"/>
        <v>-1</v>
      </c>
      <c r="N197" s="139">
        <f t="shared" si="93"/>
        <v>0</v>
      </c>
      <c r="O197" s="139">
        <f t="shared" si="94"/>
        <v>1</v>
      </c>
      <c r="P197" s="155"/>
      <c r="Q197" s="186"/>
      <c r="R197" s="186" t="s">
        <v>873</v>
      </c>
      <c r="S197" s="139"/>
      <c r="V197" s="139"/>
    </row>
    <row r="198" spans="1:22">
      <c r="A198" s="186">
        <f t="shared" si="90"/>
        <v>12</v>
      </c>
      <c r="E198" s="141" t="s">
        <v>1829</v>
      </c>
      <c r="F198" s="141" t="s">
        <v>1756</v>
      </c>
      <c r="G198" s="154" t="str">
        <f t="shared" si="96"/>
        <v>12/</v>
      </c>
      <c r="H198" s="141" t="str">
        <f t="shared" si="97"/>
        <v>12/</v>
      </c>
      <c r="I198" s="139" t="e">
        <f t="shared" si="91"/>
        <v>#NUM!</v>
      </c>
      <c r="J198" s="139" t="e">
        <f t="shared" si="92"/>
        <v>#NUM!</v>
      </c>
      <c r="K198" s="155">
        <f t="shared" si="95"/>
        <v>-1</v>
      </c>
      <c r="N198" s="139">
        <f t="shared" si="93"/>
        <v>0</v>
      </c>
      <c r="O198" s="139">
        <f t="shared" si="94"/>
        <v>1</v>
      </c>
      <c r="P198" s="155"/>
      <c r="Q198" s="186"/>
      <c r="R198" s="186" t="s">
        <v>873</v>
      </c>
      <c r="S198" s="139"/>
      <c r="V198" s="139"/>
    </row>
    <row r="199" spans="1:22">
      <c r="A199" s="186">
        <f t="shared" si="90"/>
        <v>12</v>
      </c>
      <c r="E199" s="141" t="s">
        <v>1829</v>
      </c>
      <c r="F199" s="141" t="s">
        <v>1756</v>
      </c>
      <c r="G199" s="154" t="str">
        <f t="shared" si="96"/>
        <v>12/</v>
      </c>
      <c r="H199" s="141" t="str">
        <f t="shared" si="97"/>
        <v>12/</v>
      </c>
      <c r="I199" s="139" t="e">
        <f t="shared" si="91"/>
        <v>#NUM!</v>
      </c>
      <c r="J199" s="139" t="e">
        <f t="shared" si="92"/>
        <v>#NUM!</v>
      </c>
      <c r="K199" s="155">
        <f t="shared" si="95"/>
        <v>-1</v>
      </c>
      <c r="N199" s="139">
        <f t="shared" si="93"/>
        <v>0</v>
      </c>
      <c r="O199" s="139">
        <f t="shared" si="94"/>
        <v>1</v>
      </c>
      <c r="P199" s="155"/>
      <c r="Q199" s="186"/>
      <c r="R199" s="186" t="s">
        <v>873</v>
      </c>
      <c r="S199" s="139"/>
      <c r="V199" s="139"/>
    </row>
    <row r="200" spans="1:22">
      <c r="A200" s="186">
        <f t="shared" si="90"/>
        <v>12</v>
      </c>
      <c r="E200" s="141" t="s">
        <v>1829</v>
      </c>
      <c r="F200" s="141" t="s">
        <v>1756</v>
      </c>
      <c r="G200" s="154" t="str">
        <f t="shared" si="96"/>
        <v>12/</v>
      </c>
      <c r="H200" s="141" t="str">
        <f t="shared" si="97"/>
        <v>12/</v>
      </c>
      <c r="I200" s="139" t="e">
        <f t="shared" si="91"/>
        <v>#NUM!</v>
      </c>
      <c r="J200" s="139" t="e">
        <f t="shared" si="92"/>
        <v>#NUM!</v>
      </c>
      <c r="K200" s="155">
        <f t="shared" si="95"/>
        <v>-1</v>
      </c>
      <c r="N200" s="139">
        <f t="shared" si="93"/>
        <v>0</v>
      </c>
      <c r="O200" s="139">
        <f t="shared" si="94"/>
        <v>1</v>
      </c>
      <c r="P200" s="155"/>
      <c r="Q200" s="186"/>
      <c r="R200" s="186" t="s">
        <v>873</v>
      </c>
      <c r="S200" s="139"/>
      <c r="V200" s="139"/>
    </row>
    <row r="201" spans="1:22">
      <c r="A201" s="186">
        <f t="shared" si="90"/>
        <v>12</v>
      </c>
      <c r="E201" s="141" t="s">
        <v>1829</v>
      </c>
      <c r="F201" s="141" t="s">
        <v>1756</v>
      </c>
      <c r="G201" s="154" t="str">
        <f t="shared" si="96"/>
        <v>12/</v>
      </c>
      <c r="H201" s="141" t="str">
        <f t="shared" si="97"/>
        <v>12/</v>
      </c>
      <c r="I201" s="139" t="e">
        <f t="shared" si="91"/>
        <v>#NUM!</v>
      </c>
      <c r="J201" s="139" t="e">
        <f t="shared" si="92"/>
        <v>#NUM!</v>
      </c>
      <c r="K201" s="155">
        <f t="shared" si="95"/>
        <v>-1</v>
      </c>
      <c r="N201" s="139">
        <f t="shared" si="93"/>
        <v>0</v>
      </c>
      <c r="O201" s="139">
        <f t="shared" si="94"/>
        <v>1</v>
      </c>
      <c r="P201" s="155"/>
      <c r="Q201" s="186"/>
      <c r="R201" s="186" t="s">
        <v>873</v>
      </c>
      <c r="S201" s="139"/>
      <c r="V201" s="139"/>
    </row>
    <row r="202" spans="1:22">
      <c r="A202" s="186">
        <f t="shared" si="90"/>
        <v>12</v>
      </c>
      <c r="E202" s="141" t="s">
        <v>1829</v>
      </c>
      <c r="F202" s="141" t="s">
        <v>1756</v>
      </c>
      <c r="G202" s="154" t="str">
        <f t="shared" si="96"/>
        <v>12/</v>
      </c>
      <c r="H202" s="141" t="str">
        <f t="shared" si="97"/>
        <v>12/</v>
      </c>
      <c r="I202" s="139" t="e">
        <f t="shared" si="91"/>
        <v>#NUM!</v>
      </c>
      <c r="J202" s="139" t="e">
        <f t="shared" si="92"/>
        <v>#NUM!</v>
      </c>
      <c r="K202" s="155">
        <f t="shared" si="95"/>
        <v>-1</v>
      </c>
      <c r="N202" s="139">
        <f t="shared" si="93"/>
        <v>0</v>
      </c>
      <c r="O202" s="139">
        <f t="shared" si="94"/>
        <v>1</v>
      </c>
      <c r="P202" s="155"/>
      <c r="Q202" s="186"/>
      <c r="R202" s="186" t="s">
        <v>873</v>
      </c>
      <c r="S202" s="139"/>
      <c r="V202" s="139"/>
    </row>
    <row r="203" spans="1:22">
      <c r="A203" s="186">
        <f t="shared" si="90"/>
        <v>12</v>
      </c>
      <c r="E203" s="141" t="s">
        <v>1829</v>
      </c>
      <c r="F203" s="141" t="s">
        <v>1756</v>
      </c>
      <c r="G203" s="154" t="str">
        <f t="shared" si="96"/>
        <v>12/</v>
      </c>
      <c r="H203" s="141" t="str">
        <f t="shared" si="97"/>
        <v>12/</v>
      </c>
      <c r="I203" s="139" t="e">
        <f t="shared" si="91"/>
        <v>#NUM!</v>
      </c>
      <c r="J203" s="139" t="e">
        <f t="shared" si="92"/>
        <v>#NUM!</v>
      </c>
      <c r="K203" s="155">
        <f t="shared" si="95"/>
        <v>-1</v>
      </c>
      <c r="N203" s="139">
        <f t="shared" si="93"/>
        <v>0</v>
      </c>
      <c r="O203" s="139">
        <f t="shared" si="94"/>
        <v>1</v>
      </c>
      <c r="P203" s="155"/>
      <c r="Q203" s="186"/>
      <c r="R203" s="186" t="s">
        <v>873</v>
      </c>
      <c r="S203" s="139"/>
      <c r="V203" s="139"/>
    </row>
    <row r="204" spans="1:22">
      <c r="A204" s="186">
        <f t="shared" si="90"/>
        <v>12</v>
      </c>
      <c r="E204" s="141" t="s">
        <v>1829</v>
      </c>
      <c r="F204" s="141" t="s">
        <v>1756</v>
      </c>
      <c r="G204" s="154" t="str">
        <f t="shared" si="96"/>
        <v>12/</v>
      </c>
      <c r="H204" s="141" t="str">
        <f t="shared" si="97"/>
        <v>12/</v>
      </c>
      <c r="I204" s="139" t="e">
        <f t="shared" si="91"/>
        <v>#NUM!</v>
      </c>
      <c r="J204" s="139" t="e">
        <f t="shared" si="92"/>
        <v>#NUM!</v>
      </c>
      <c r="K204" s="155">
        <f t="shared" si="95"/>
        <v>-1</v>
      </c>
      <c r="N204" s="139">
        <f t="shared" si="93"/>
        <v>0</v>
      </c>
      <c r="O204" s="139">
        <f t="shared" si="94"/>
        <v>1</v>
      </c>
      <c r="P204" s="155"/>
      <c r="Q204" s="186"/>
      <c r="R204" s="186" t="s">
        <v>873</v>
      </c>
      <c r="S204" s="139"/>
      <c r="V204" s="139"/>
    </row>
    <row r="205" spans="1:22">
      <c r="A205" s="186">
        <f t="shared" si="90"/>
        <v>12</v>
      </c>
      <c r="E205" s="141" t="s">
        <v>1829</v>
      </c>
      <c r="F205" s="141" t="s">
        <v>1756</v>
      </c>
      <c r="G205" s="154" t="str">
        <f t="shared" si="96"/>
        <v>12/</v>
      </c>
      <c r="H205" s="141" t="str">
        <f t="shared" si="97"/>
        <v>12/</v>
      </c>
      <c r="I205" s="139" t="e">
        <f t="shared" si="91"/>
        <v>#NUM!</v>
      </c>
      <c r="J205" s="139" t="e">
        <f t="shared" si="92"/>
        <v>#NUM!</v>
      </c>
      <c r="K205" s="155">
        <f t="shared" si="95"/>
        <v>-1</v>
      </c>
      <c r="N205" s="139">
        <f t="shared" si="93"/>
        <v>0</v>
      </c>
      <c r="O205" s="139">
        <f t="shared" si="94"/>
        <v>1</v>
      </c>
      <c r="P205" s="155"/>
      <c r="Q205" s="186"/>
      <c r="R205" s="186" t="s">
        <v>873</v>
      </c>
      <c r="S205" s="139"/>
      <c r="V205" s="139"/>
    </row>
    <row r="206" spans="1:22">
      <c r="A206" s="186">
        <f t="shared" si="90"/>
        <v>12</v>
      </c>
      <c r="E206" s="141" t="s">
        <v>1829</v>
      </c>
      <c r="F206" s="141" t="s">
        <v>1756</v>
      </c>
      <c r="G206" s="154" t="str">
        <f t="shared" si="96"/>
        <v>12/</v>
      </c>
      <c r="H206" s="141" t="str">
        <f t="shared" si="97"/>
        <v>12/</v>
      </c>
      <c r="I206" s="139" t="e">
        <f t="shared" si="91"/>
        <v>#NUM!</v>
      </c>
      <c r="J206" s="139" t="e">
        <f t="shared" si="92"/>
        <v>#NUM!</v>
      </c>
      <c r="K206" s="155">
        <f t="shared" si="95"/>
        <v>-1</v>
      </c>
      <c r="N206" s="139">
        <f t="shared" si="93"/>
        <v>0</v>
      </c>
      <c r="O206" s="139">
        <f t="shared" si="94"/>
        <v>1</v>
      </c>
      <c r="P206" s="155"/>
      <c r="Q206" s="186"/>
      <c r="R206" s="186" t="s">
        <v>873</v>
      </c>
      <c r="S206" s="139"/>
      <c r="V206" s="139"/>
    </row>
    <row r="207" spans="1:22">
      <c r="A207" s="186">
        <f t="shared" si="90"/>
        <v>12</v>
      </c>
      <c r="E207" s="141" t="s">
        <v>1829</v>
      </c>
      <c r="F207" s="141" t="s">
        <v>1756</v>
      </c>
      <c r="G207" s="154" t="str">
        <f t="shared" si="96"/>
        <v>12/</v>
      </c>
      <c r="H207" s="141" t="str">
        <f t="shared" si="97"/>
        <v>12/</v>
      </c>
      <c r="I207" s="139" t="e">
        <f t="shared" si="91"/>
        <v>#NUM!</v>
      </c>
      <c r="J207" s="139" t="e">
        <f t="shared" si="92"/>
        <v>#NUM!</v>
      </c>
      <c r="K207" s="155">
        <f t="shared" si="95"/>
        <v>-1</v>
      </c>
      <c r="N207" s="139">
        <f t="shared" si="93"/>
        <v>0</v>
      </c>
      <c r="O207" s="139">
        <f t="shared" si="94"/>
        <v>1</v>
      </c>
      <c r="P207" s="155"/>
      <c r="Q207" s="186"/>
      <c r="R207" s="186" t="s">
        <v>873</v>
      </c>
      <c r="S207" s="139"/>
      <c r="V207" s="139"/>
    </row>
    <row r="208" spans="1:22">
      <c r="A208" s="186">
        <f t="shared" si="90"/>
        <v>12</v>
      </c>
      <c r="E208" s="141" t="s">
        <v>1829</v>
      </c>
      <c r="F208" s="141" t="s">
        <v>1756</v>
      </c>
      <c r="G208" s="154" t="str">
        <f t="shared" si="96"/>
        <v>12/</v>
      </c>
      <c r="H208" s="141" t="str">
        <f t="shared" si="97"/>
        <v>12/</v>
      </c>
      <c r="I208" s="139" t="e">
        <f t="shared" si="91"/>
        <v>#NUM!</v>
      </c>
      <c r="J208" s="139" t="e">
        <f t="shared" si="92"/>
        <v>#NUM!</v>
      </c>
      <c r="K208" s="155">
        <f t="shared" si="95"/>
        <v>-1</v>
      </c>
      <c r="N208" s="139">
        <f t="shared" si="93"/>
        <v>0</v>
      </c>
      <c r="O208" s="139">
        <f t="shared" si="94"/>
        <v>1</v>
      </c>
      <c r="P208" s="155"/>
      <c r="Q208" s="186"/>
      <c r="R208" s="186" t="s">
        <v>873</v>
      </c>
      <c r="S208" s="139"/>
      <c r="V208" s="139"/>
    </row>
    <row r="209" spans="1:22">
      <c r="A209" s="186">
        <f t="shared" si="90"/>
        <v>12</v>
      </c>
      <c r="E209" s="141" t="s">
        <v>1829</v>
      </c>
      <c r="F209" s="141" t="s">
        <v>1756</v>
      </c>
      <c r="G209" s="154" t="str">
        <f t="shared" si="96"/>
        <v>12/</v>
      </c>
      <c r="H209" s="141" t="str">
        <f t="shared" si="97"/>
        <v>12/</v>
      </c>
      <c r="I209" s="139" t="e">
        <f t="shared" si="91"/>
        <v>#NUM!</v>
      </c>
      <c r="J209" s="139" t="e">
        <f t="shared" si="92"/>
        <v>#NUM!</v>
      </c>
      <c r="K209" s="155">
        <f t="shared" si="95"/>
        <v>-1</v>
      </c>
      <c r="N209" s="139">
        <f t="shared" si="93"/>
        <v>0</v>
      </c>
      <c r="O209" s="139">
        <f t="shared" si="94"/>
        <v>1</v>
      </c>
      <c r="P209" s="155"/>
      <c r="Q209" s="186"/>
      <c r="R209" s="186" t="s">
        <v>873</v>
      </c>
      <c r="S209" s="139"/>
      <c r="V209" s="139"/>
    </row>
    <row r="210" spans="1:22">
      <c r="A210" s="186">
        <f t="shared" si="90"/>
        <v>12</v>
      </c>
      <c r="E210" s="141" t="s">
        <v>1829</v>
      </c>
      <c r="F210" s="141" t="s">
        <v>1756</v>
      </c>
      <c r="G210" s="154" t="str">
        <f t="shared" si="96"/>
        <v>12/</v>
      </c>
      <c r="H210" s="141" t="str">
        <f t="shared" si="97"/>
        <v>12/</v>
      </c>
      <c r="I210" s="139" t="e">
        <f t="shared" si="91"/>
        <v>#NUM!</v>
      </c>
      <c r="J210" s="139" t="e">
        <f t="shared" si="92"/>
        <v>#NUM!</v>
      </c>
      <c r="K210" s="155">
        <f t="shared" si="95"/>
        <v>-1</v>
      </c>
      <c r="N210" s="139">
        <f t="shared" si="93"/>
        <v>0</v>
      </c>
      <c r="O210" s="139">
        <f t="shared" si="94"/>
        <v>1</v>
      </c>
      <c r="P210" s="155"/>
      <c r="Q210" s="186"/>
      <c r="R210" s="186" t="s">
        <v>873</v>
      </c>
      <c r="S210" s="139"/>
      <c r="V210" s="139"/>
    </row>
    <row r="211" spans="1:22">
      <c r="A211" s="186">
        <f t="shared" si="90"/>
        <v>12</v>
      </c>
      <c r="E211" s="141" t="s">
        <v>1829</v>
      </c>
      <c r="F211" s="141" t="s">
        <v>1756</v>
      </c>
      <c r="G211" s="154" t="str">
        <f t="shared" si="96"/>
        <v>12/</v>
      </c>
      <c r="H211" s="141" t="str">
        <f t="shared" si="97"/>
        <v>12/</v>
      </c>
      <c r="I211" s="139" t="e">
        <f t="shared" si="91"/>
        <v>#NUM!</v>
      </c>
      <c r="J211" s="139" t="e">
        <f t="shared" si="92"/>
        <v>#NUM!</v>
      </c>
      <c r="K211" s="155">
        <f t="shared" si="95"/>
        <v>-1</v>
      </c>
      <c r="N211" s="139">
        <f t="shared" si="93"/>
        <v>0</v>
      </c>
      <c r="O211" s="139">
        <f t="shared" si="94"/>
        <v>1</v>
      </c>
      <c r="P211" s="155"/>
      <c r="Q211" s="186"/>
      <c r="R211" s="186" t="s">
        <v>873</v>
      </c>
      <c r="S211" s="139"/>
      <c r="V211" s="139"/>
    </row>
    <row r="212" spans="1:22">
      <c r="A212" s="186">
        <f t="shared" si="90"/>
        <v>12</v>
      </c>
      <c r="E212" s="141" t="s">
        <v>1829</v>
      </c>
      <c r="F212" s="141" t="s">
        <v>1756</v>
      </c>
      <c r="G212" s="154" t="str">
        <f t="shared" si="96"/>
        <v>12/</v>
      </c>
      <c r="H212" s="141" t="str">
        <f t="shared" si="97"/>
        <v>12/</v>
      </c>
      <c r="I212" s="139" t="e">
        <f t="shared" si="91"/>
        <v>#NUM!</v>
      </c>
      <c r="J212" s="139" t="e">
        <f t="shared" si="92"/>
        <v>#NUM!</v>
      </c>
      <c r="K212" s="155">
        <f t="shared" si="95"/>
        <v>-1</v>
      </c>
      <c r="N212" s="139">
        <f t="shared" si="93"/>
        <v>0</v>
      </c>
      <c r="O212" s="139">
        <f t="shared" si="94"/>
        <v>1</v>
      </c>
      <c r="P212" s="155"/>
      <c r="Q212" s="186"/>
      <c r="R212" s="186" t="s">
        <v>873</v>
      </c>
      <c r="S212" s="139"/>
      <c r="V212" s="139"/>
    </row>
    <row r="213" spans="1:22">
      <c r="A213" s="186">
        <f t="shared" si="90"/>
        <v>12</v>
      </c>
      <c r="E213" s="141" t="s">
        <v>1829</v>
      </c>
      <c r="F213" s="141" t="s">
        <v>1756</v>
      </c>
      <c r="G213" s="154" t="str">
        <f t="shared" si="96"/>
        <v>12/</v>
      </c>
      <c r="H213" s="141" t="str">
        <f t="shared" si="97"/>
        <v>12/</v>
      </c>
      <c r="I213" s="139" t="e">
        <f t="shared" si="91"/>
        <v>#NUM!</v>
      </c>
      <c r="J213" s="139" t="e">
        <f t="shared" si="92"/>
        <v>#NUM!</v>
      </c>
      <c r="K213" s="155">
        <f t="shared" si="95"/>
        <v>-1</v>
      </c>
      <c r="N213" s="139">
        <f t="shared" si="93"/>
        <v>0</v>
      </c>
      <c r="O213" s="139">
        <f t="shared" si="94"/>
        <v>1</v>
      </c>
      <c r="P213" s="155"/>
      <c r="Q213" s="186"/>
      <c r="R213" s="186" t="s">
        <v>873</v>
      </c>
      <c r="S213" s="139"/>
      <c r="V213" s="139"/>
    </row>
    <row r="214" spans="1:22">
      <c r="A214" s="186">
        <f t="shared" si="90"/>
        <v>12</v>
      </c>
      <c r="E214" s="141" t="s">
        <v>1829</v>
      </c>
      <c r="F214" s="141" t="s">
        <v>1756</v>
      </c>
      <c r="G214" s="154" t="str">
        <f t="shared" si="96"/>
        <v>12/</v>
      </c>
      <c r="H214" s="141" t="str">
        <f t="shared" si="97"/>
        <v>12/</v>
      </c>
      <c r="I214" s="139" t="e">
        <f t="shared" si="91"/>
        <v>#NUM!</v>
      </c>
      <c r="J214" s="139" t="e">
        <f t="shared" si="92"/>
        <v>#NUM!</v>
      </c>
      <c r="K214" s="155">
        <f t="shared" si="95"/>
        <v>-1</v>
      </c>
      <c r="N214" s="139">
        <f t="shared" si="93"/>
        <v>0</v>
      </c>
      <c r="O214" s="139">
        <f t="shared" si="94"/>
        <v>1</v>
      </c>
      <c r="P214" s="155"/>
      <c r="Q214" s="186"/>
      <c r="R214" s="186" t="s">
        <v>873</v>
      </c>
      <c r="S214" s="139"/>
      <c r="V214" s="139"/>
    </row>
    <row r="215" spans="1:22">
      <c r="A215" s="186">
        <f t="shared" si="90"/>
        <v>12</v>
      </c>
      <c r="E215" s="141" t="s">
        <v>1829</v>
      </c>
      <c r="F215" s="141" t="s">
        <v>1756</v>
      </c>
      <c r="G215" s="154" t="str">
        <f t="shared" si="96"/>
        <v>12/</v>
      </c>
      <c r="H215" s="141" t="str">
        <f t="shared" si="97"/>
        <v>12/</v>
      </c>
      <c r="I215" s="139" t="e">
        <f t="shared" si="91"/>
        <v>#NUM!</v>
      </c>
      <c r="J215" s="139" t="e">
        <f t="shared" si="92"/>
        <v>#NUM!</v>
      </c>
      <c r="K215" s="155">
        <f t="shared" si="95"/>
        <v>-1</v>
      </c>
      <c r="N215" s="139">
        <f t="shared" si="93"/>
        <v>0</v>
      </c>
      <c r="O215" s="139">
        <f t="shared" si="94"/>
        <v>1</v>
      </c>
      <c r="P215" s="155"/>
      <c r="Q215" s="186"/>
      <c r="R215" s="186" t="s">
        <v>873</v>
      </c>
      <c r="S215" s="139"/>
      <c r="V215" s="139"/>
    </row>
    <row r="216" spans="1:22">
      <c r="A216" s="186">
        <f t="shared" si="90"/>
        <v>12</v>
      </c>
      <c r="E216" s="141" t="s">
        <v>1829</v>
      </c>
      <c r="F216" s="141" t="s">
        <v>1756</v>
      </c>
      <c r="G216" s="154" t="str">
        <f t="shared" si="96"/>
        <v>12/</v>
      </c>
      <c r="H216" s="141" t="str">
        <f t="shared" si="97"/>
        <v>12/</v>
      </c>
      <c r="I216" s="139" t="e">
        <f t="shared" si="91"/>
        <v>#NUM!</v>
      </c>
      <c r="J216" s="139" t="e">
        <f t="shared" si="92"/>
        <v>#NUM!</v>
      </c>
      <c r="K216" s="155">
        <f t="shared" si="95"/>
        <v>-1</v>
      </c>
      <c r="N216" s="139">
        <f t="shared" si="93"/>
        <v>0</v>
      </c>
      <c r="O216" s="139">
        <f t="shared" si="94"/>
        <v>1</v>
      </c>
      <c r="P216" s="155"/>
      <c r="Q216" s="186"/>
      <c r="R216" s="186" t="s">
        <v>873</v>
      </c>
      <c r="S216" s="139"/>
      <c r="V216" s="139"/>
    </row>
    <row r="217" spans="1:22">
      <c r="A217" s="186">
        <f t="shared" si="90"/>
        <v>12</v>
      </c>
      <c r="E217" s="141" t="s">
        <v>1829</v>
      </c>
      <c r="F217" s="141" t="s">
        <v>1756</v>
      </c>
      <c r="G217" s="154" t="str">
        <f t="shared" si="96"/>
        <v>12/</v>
      </c>
      <c r="H217" s="141" t="str">
        <f t="shared" si="97"/>
        <v>12/</v>
      </c>
      <c r="I217" s="139" t="e">
        <f t="shared" si="91"/>
        <v>#NUM!</v>
      </c>
      <c r="J217" s="139" t="e">
        <f t="shared" si="92"/>
        <v>#NUM!</v>
      </c>
      <c r="K217" s="155">
        <f t="shared" si="95"/>
        <v>-1</v>
      </c>
      <c r="N217" s="139">
        <f t="shared" si="93"/>
        <v>0</v>
      </c>
      <c r="O217" s="139">
        <f t="shared" si="94"/>
        <v>1</v>
      </c>
      <c r="P217" s="155"/>
      <c r="Q217" s="186"/>
      <c r="R217" s="186" t="s">
        <v>873</v>
      </c>
      <c r="S217" s="139"/>
      <c r="V217" s="139"/>
    </row>
    <row r="218" spans="1:22">
      <c r="A218" s="186">
        <f t="shared" si="90"/>
        <v>12</v>
      </c>
      <c r="E218" s="141" t="s">
        <v>1829</v>
      </c>
      <c r="F218" s="141" t="s">
        <v>1756</v>
      </c>
      <c r="G218" s="154" t="str">
        <f t="shared" si="96"/>
        <v>12/</v>
      </c>
      <c r="H218" s="141" t="str">
        <f t="shared" si="97"/>
        <v>12/</v>
      </c>
      <c r="I218" s="139" t="e">
        <f t="shared" si="91"/>
        <v>#NUM!</v>
      </c>
      <c r="J218" s="139" t="e">
        <f t="shared" si="92"/>
        <v>#NUM!</v>
      </c>
      <c r="K218" s="155">
        <f t="shared" si="95"/>
        <v>-1</v>
      </c>
      <c r="N218" s="139">
        <f t="shared" si="93"/>
        <v>0</v>
      </c>
      <c r="O218" s="139">
        <f t="shared" si="94"/>
        <v>1</v>
      </c>
      <c r="P218" s="155"/>
      <c r="Q218" s="186"/>
      <c r="R218" s="186" t="s">
        <v>873</v>
      </c>
      <c r="S218" s="139"/>
      <c r="V218" s="139"/>
    </row>
    <row r="219" spans="1:22">
      <c r="A219" s="186">
        <f t="shared" si="90"/>
        <v>12</v>
      </c>
      <c r="E219" s="141" t="s">
        <v>1829</v>
      </c>
      <c r="F219" s="141" t="s">
        <v>1756</v>
      </c>
      <c r="G219" s="154" t="str">
        <f t="shared" si="96"/>
        <v>12/</v>
      </c>
      <c r="H219" s="141" t="str">
        <f t="shared" si="97"/>
        <v>12/</v>
      </c>
      <c r="I219" s="139" t="e">
        <f t="shared" si="91"/>
        <v>#NUM!</v>
      </c>
      <c r="J219" s="139" t="e">
        <f t="shared" si="92"/>
        <v>#NUM!</v>
      </c>
      <c r="K219" s="155">
        <f t="shared" si="95"/>
        <v>-1</v>
      </c>
      <c r="N219" s="139">
        <f t="shared" si="93"/>
        <v>0</v>
      </c>
      <c r="O219" s="139">
        <f t="shared" si="94"/>
        <v>1</v>
      </c>
      <c r="P219" s="155"/>
      <c r="Q219" s="186"/>
      <c r="R219" s="186" t="s">
        <v>873</v>
      </c>
      <c r="S219" s="139"/>
      <c r="V219" s="139"/>
    </row>
    <row r="220" spans="1:22">
      <c r="A220" s="186">
        <f t="shared" si="90"/>
        <v>12</v>
      </c>
      <c r="E220" s="141" t="s">
        <v>1829</v>
      </c>
      <c r="F220" s="141" t="s">
        <v>1756</v>
      </c>
      <c r="G220" s="154" t="str">
        <f t="shared" si="96"/>
        <v>12/</v>
      </c>
      <c r="H220" s="141" t="str">
        <f t="shared" si="97"/>
        <v>12/</v>
      </c>
      <c r="I220" s="139" t="e">
        <f t="shared" si="91"/>
        <v>#NUM!</v>
      </c>
      <c r="J220" s="139" t="e">
        <f t="shared" si="92"/>
        <v>#NUM!</v>
      </c>
      <c r="K220" s="155">
        <f t="shared" si="95"/>
        <v>-1</v>
      </c>
      <c r="N220" s="139">
        <f t="shared" si="93"/>
        <v>0</v>
      </c>
      <c r="O220" s="139">
        <f t="shared" si="94"/>
        <v>1</v>
      </c>
      <c r="P220" s="155"/>
      <c r="Q220" s="186"/>
      <c r="R220" s="186" t="s">
        <v>873</v>
      </c>
      <c r="S220" s="139"/>
      <c r="V220" s="139"/>
    </row>
    <row r="221" spans="1:22">
      <c r="A221" s="186">
        <f t="shared" si="90"/>
        <v>12</v>
      </c>
      <c r="E221" s="141" t="s">
        <v>1829</v>
      </c>
      <c r="F221" s="141" t="s">
        <v>1756</v>
      </c>
      <c r="G221" s="154" t="str">
        <f t="shared" si="96"/>
        <v>12/</v>
      </c>
      <c r="H221" s="141" t="str">
        <f t="shared" si="97"/>
        <v>12/</v>
      </c>
      <c r="I221" s="139" t="e">
        <f t="shared" si="91"/>
        <v>#NUM!</v>
      </c>
      <c r="J221" s="139" t="e">
        <f t="shared" si="92"/>
        <v>#NUM!</v>
      </c>
      <c r="K221" s="155">
        <f t="shared" si="95"/>
        <v>-1</v>
      </c>
      <c r="N221" s="139">
        <f t="shared" si="93"/>
        <v>0</v>
      </c>
      <c r="O221" s="139">
        <f t="shared" si="94"/>
        <v>1</v>
      </c>
      <c r="P221" s="155"/>
      <c r="Q221" s="186"/>
      <c r="R221" s="186" t="s">
        <v>873</v>
      </c>
      <c r="S221" s="139"/>
      <c r="V221" s="139"/>
    </row>
    <row r="222" spans="1:22">
      <c r="A222" s="186">
        <f t="shared" si="90"/>
        <v>12</v>
      </c>
      <c r="E222" s="141" t="s">
        <v>1829</v>
      </c>
      <c r="F222" s="141" t="s">
        <v>1756</v>
      </c>
      <c r="G222" s="154" t="str">
        <f t="shared" si="96"/>
        <v>12/</v>
      </c>
      <c r="H222" s="141" t="str">
        <f t="shared" si="97"/>
        <v>12/</v>
      </c>
      <c r="I222" s="139" t="e">
        <f t="shared" si="91"/>
        <v>#NUM!</v>
      </c>
      <c r="J222" s="139" t="e">
        <f t="shared" si="92"/>
        <v>#NUM!</v>
      </c>
      <c r="K222" s="155">
        <f t="shared" si="95"/>
        <v>-1</v>
      </c>
      <c r="N222" s="139">
        <f t="shared" si="93"/>
        <v>0</v>
      </c>
      <c r="O222" s="139">
        <f t="shared" si="94"/>
        <v>1</v>
      </c>
      <c r="P222" s="155"/>
      <c r="Q222" s="186"/>
      <c r="R222" s="186" t="s">
        <v>873</v>
      </c>
      <c r="S222" s="139"/>
      <c r="V222" s="139"/>
    </row>
    <row r="223" spans="1:22">
      <c r="A223" s="186">
        <f t="shared" si="90"/>
        <v>12</v>
      </c>
      <c r="E223" s="141" t="s">
        <v>1829</v>
      </c>
      <c r="F223" s="141" t="s">
        <v>1756</v>
      </c>
      <c r="G223" s="154" t="str">
        <f t="shared" si="96"/>
        <v>12/</v>
      </c>
      <c r="H223" s="141" t="str">
        <f t="shared" si="97"/>
        <v>12/</v>
      </c>
      <c r="I223" s="139" t="e">
        <f t="shared" si="91"/>
        <v>#NUM!</v>
      </c>
      <c r="J223" s="139" t="e">
        <f t="shared" si="92"/>
        <v>#NUM!</v>
      </c>
      <c r="K223" s="155">
        <f t="shared" si="95"/>
        <v>-1</v>
      </c>
      <c r="N223" s="139">
        <f t="shared" si="93"/>
        <v>0</v>
      </c>
      <c r="O223" s="139">
        <f t="shared" si="94"/>
        <v>1</v>
      </c>
      <c r="P223" s="155"/>
      <c r="Q223" s="186"/>
      <c r="R223" s="186" t="s">
        <v>873</v>
      </c>
      <c r="S223" s="139"/>
      <c r="V223" s="139"/>
    </row>
    <row r="224" spans="1:22">
      <c r="A224" s="186">
        <f t="shared" si="90"/>
        <v>12</v>
      </c>
      <c r="E224" s="141" t="s">
        <v>1829</v>
      </c>
      <c r="F224" s="141" t="s">
        <v>1756</v>
      </c>
      <c r="G224" s="154" t="str">
        <f t="shared" si="96"/>
        <v>12/</v>
      </c>
      <c r="H224" s="141" t="str">
        <f t="shared" si="97"/>
        <v>12/</v>
      </c>
      <c r="I224" s="139" t="e">
        <f t="shared" si="91"/>
        <v>#NUM!</v>
      </c>
      <c r="J224" s="139" t="e">
        <f t="shared" si="92"/>
        <v>#NUM!</v>
      </c>
      <c r="K224" s="155">
        <f t="shared" si="95"/>
        <v>-1</v>
      </c>
      <c r="N224" s="139">
        <f t="shared" si="93"/>
        <v>0</v>
      </c>
      <c r="O224" s="139">
        <f t="shared" si="94"/>
        <v>1</v>
      </c>
      <c r="P224" s="155"/>
      <c r="Q224" s="186"/>
      <c r="R224" s="186" t="s">
        <v>873</v>
      </c>
      <c r="S224" s="139"/>
      <c r="V224" s="139"/>
    </row>
    <row r="225" spans="1:22">
      <c r="A225" s="186">
        <f t="shared" si="90"/>
        <v>12</v>
      </c>
      <c r="E225" s="141" t="s">
        <v>1829</v>
      </c>
      <c r="F225" s="141" t="s">
        <v>1756</v>
      </c>
      <c r="G225" s="154" t="str">
        <f t="shared" si="96"/>
        <v>12/</v>
      </c>
      <c r="H225" s="141" t="str">
        <f t="shared" si="97"/>
        <v>12/</v>
      </c>
      <c r="I225" s="139" t="e">
        <f t="shared" si="91"/>
        <v>#NUM!</v>
      </c>
      <c r="J225" s="139" t="e">
        <f t="shared" si="92"/>
        <v>#NUM!</v>
      </c>
      <c r="K225" s="155">
        <f t="shared" si="95"/>
        <v>-1</v>
      </c>
      <c r="N225" s="139">
        <f t="shared" si="93"/>
        <v>0</v>
      </c>
      <c r="O225" s="139">
        <f t="shared" si="94"/>
        <v>1</v>
      </c>
      <c r="P225" s="155"/>
      <c r="Q225" s="186"/>
      <c r="R225" s="186" t="s">
        <v>873</v>
      </c>
      <c r="S225" s="139"/>
      <c r="V225" s="139"/>
    </row>
    <row r="226" spans="1:22">
      <c r="A226" s="186">
        <f t="shared" si="90"/>
        <v>12</v>
      </c>
      <c r="E226" s="141" t="s">
        <v>1829</v>
      </c>
      <c r="F226" s="141" t="s">
        <v>1756</v>
      </c>
      <c r="G226" s="154" t="str">
        <f t="shared" si="96"/>
        <v>12/</v>
      </c>
      <c r="H226" s="141" t="str">
        <f t="shared" si="97"/>
        <v>12/</v>
      </c>
      <c r="I226" s="139" t="e">
        <f t="shared" si="91"/>
        <v>#NUM!</v>
      </c>
      <c r="J226" s="139" t="e">
        <f t="shared" si="92"/>
        <v>#NUM!</v>
      </c>
      <c r="K226" s="155">
        <f t="shared" si="95"/>
        <v>-1</v>
      </c>
      <c r="N226" s="139">
        <f t="shared" si="93"/>
        <v>0</v>
      </c>
      <c r="O226" s="139">
        <f t="shared" si="94"/>
        <v>1</v>
      </c>
      <c r="P226" s="155"/>
      <c r="Q226" s="186"/>
      <c r="R226" s="186" t="s">
        <v>873</v>
      </c>
      <c r="S226" s="139"/>
      <c r="V226" s="139"/>
    </row>
    <row r="227" spans="1:22">
      <c r="A227" s="186">
        <f t="shared" ref="A227:A290" si="98">A226</f>
        <v>12</v>
      </c>
      <c r="E227" s="141" t="s">
        <v>1829</v>
      </c>
      <c r="F227" s="141" t="s">
        <v>1756</v>
      </c>
      <c r="G227" s="154" t="str">
        <f t="shared" si="96"/>
        <v>12/</v>
      </c>
      <c r="H227" s="141" t="str">
        <f t="shared" si="97"/>
        <v>12/</v>
      </c>
      <c r="I227" s="139" t="e">
        <f t="shared" si="91"/>
        <v>#NUM!</v>
      </c>
      <c r="J227" s="139" t="e">
        <f t="shared" si="92"/>
        <v>#NUM!</v>
      </c>
      <c r="K227" s="155">
        <f t="shared" si="95"/>
        <v>-1</v>
      </c>
      <c r="N227" s="139">
        <f t="shared" si="93"/>
        <v>0</v>
      </c>
      <c r="O227" s="139">
        <f t="shared" si="94"/>
        <v>1</v>
      </c>
      <c r="P227" s="155"/>
      <c r="Q227" s="186"/>
      <c r="R227" s="186" t="s">
        <v>873</v>
      </c>
      <c r="S227" s="139"/>
      <c r="V227" s="139"/>
    </row>
    <row r="228" spans="1:22">
      <c r="A228" s="186">
        <f t="shared" si="98"/>
        <v>12</v>
      </c>
      <c r="E228" s="141" t="s">
        <v>1829</v>
      </c>
      <c r="F228" s="141" t="s">
        <v>1756</v>
      </c>
      <c r="G228" s="154" t="str">
        <f t="shared" si="96"/>
        <v>12/</v>
      </c>
      <c r="H228" s="141" t="str">
        <f t="shared" si="97"/>
        <v>12/</v>
      </c>
      <c r="I228" s="139" t="e">
        <f t="shared" si="91"/>
        <v>#NUM!</v>
      </c>
      <c r="J228" s="139" t="e">
        <f t="shared" si="92"/>
        <v>#NUM!</v>
      </c>
      <c r="K228" s="155">
        <f t="shared" si="95"/>
        <v>-1</v>
      </c>
      <c r="N228" s="139">
        <f t="shared" si="93"/>
        <v>0</v>
      </c>
      <c r="O228" s="139">
        <f t="shared" si="94"/>
        <v>1</v>
      </c>
      <c r="P228" s="155"/>
      <c r="Q228" s="186"/>
      <c r="R228" s="186" t="s">
        <v>873</v>
      </c>
      <c r="S228" s="139"/>
      <c r="V228" s="139"/>
    </row>
    <row r="229" spans="1:22">
      <c r="A229" s="186">
        <f t="shared" si="98"/>
        <v>12</v>
      </c>
      <c r="E229" s="141" t="s">
        <v>1829</v>
      </c>
      <c r="F229" s="141" t="s">
        <v>1756</v>
      </c>
      <c r="G229" s="154" t="str">
        <f t="shared" si="96"/>
        <v>12/</v>
      </c>
      <c r="H229" s="141" t="str">
        <f t="shared" si="97"/>
        <v>12/</v>
      </c>
      <c r="I229" s="139" t="e">
        <f t="shared" si="91"/>
        <v>#NUM!</v>
      </c>
      <c r="J229" s="139" t="e">
        <f t="shared" si="92"/>
        <v>#NUM!</v>
      </c>
      <c r="K229" s="155">
        <f t="shared" si="95"/>
        <v>-1</v>
      </c>
      <c r="N229" s="139">
        <f t="shared" si="93"/>
        <v>0</v>
      </c>
      <c r="O229" s="139">
        <f t="shared" si="94"/>
        <v>1</v>
      </c>
      <c r="P229" s="155"/>
      <c r="Q229" s="186"/>
      <c r="R229" s="186" t="s">
        <v>873</v>
      </c>
      <c r="S229" s="139"/>
      <c r="V229" s="139"/>
    </row>
    <row r="230" spans="1:22">
      <c r="A230" s="186">
        <f t="shared" si="98"/>
        <v>12</v>
      </c>
      <c r="E230" s="141" t="s">
        <v>1829</v>
      </c>
      <c r="F230" s="141" t="s">
        <v>1756</v>
      </c>
      <c r="G230" s="154" t="str">
        <f t="shared" si="96"/>
        <v>12/</v>
      </c>
      <c r="H230" s="141" t="str">
        <f t="shared" si="97"/>
        <v>12/</v>
      </c>
      <c r="I230" s="139" t="e">
        <f t="shared" si="91"/>
        <v>#NUM!</v>
      </c>
      <c r="J230" s="139" t="e">
        <f t="shared" si="92"/>
        <v>#NUM!</v>
      </c>
      <c r="K230" s="155">
        <f t="shared" si="95"/>
        <v>-1</v>
      </c>
      <c r="N230" s="139">
        <f t="shared" si="93"/>
        <v>0</v>
      </c>
      <c r="O230" s="139">
        <f t="shared" si="94"/>
        <v>1</v>
      </c>
      <c r="P230" s="155"/>
      <c r="Q230" s="186"/>
      <c r="R230" s="186" t="s">
        <v>873</v>
      </c>
      <c r="S230" s="139"/>
      <c r="V230" s="139"/>
    </row>
    <row r="231" spans="1:22">
      <c r="A231" s="186">
        <f t="shared" si="98"/>
        <v>12</v>
      </c>
      <c r="E231" s="141" t="s">
        <v>1829</v>
      </c>
      <c r="F231" s="141" t="s">
        <v>1756</v>
      </c>
      <c r="G231" s="154" t="str">
        <f t="shared" si="96"/>
        <v>12/</v>
      </c>
      <c r="H231" s="141" t="str">
        <f t="shared" si="97"/>
        <v>12/</v>
      </c>
      <c r="I231" s="139" t="e">
        <f t="shared" si="91"/>
        <v>#NUM!</v>
      </c>
      <c r="J231" s="139" t="e">
        <f t="shared" si="92"/>
        <v>#NUM!</v>
      </c>
      <c r="K231" s="155">
        <f t="shared" si="95"/>
        <v>-1</v>
      </c>
      <c r="N231" s="139">
        <f t="shared" si="93"/>
        <v>0</v>
      </c>
      <c r="O231" s="139">
        <f t="shared" si="94"/>
        <v>1</v>
      </c>
      <c r="P231" s="155"/>
      <c r="Q231" s="186"/>
      <c r="R231" s="186" t="s">
        <v>873</v>
      </c>
      <c r="S231" s="139"/>
      <c r="V231" s="139"/>
    </row>
    <row r="232" spans="1:22">
      <c r="A232" s="186">
        <f t="shared" si="98"/>
        <v>12</v>
      </c>
      <c r="E232" s="141" t="s">
        <v>1829</v>
      </c>
      <c r="F232" s="141" t="s">
        <v>1756</v>
      </c>
      <c r="G232" s="154" t="str">
        <f t="shared" si="96"/>
        <v>12/</v>
      </c>
      <c r="H232" s="141" t="str">
        <f t="shared" si="97"/>
        <v>12/</v>
      </c>
      <c r="I232" s="139" t="e">
        <f t="shared" si="91"/>
        <v>#NUM!</v>
      </c>
      <c r="J232" s="139" t="e">
        <f t="shared" si="92"/>
        <v>#NUM!</v>
      </c>
      <c r="K232" s="155">
        <f t="shared" si="95"/>
        <v>-1</v>
      </c>
      <c r="N232" s="139">
        <f t="shared" si="93"/>
        <v>0</v>
      </c>
      <c r="O232" s="139">
        <f t="shared" si="94"/>
        <v>1</v>
      </c>
      <c r="P232" s="155"/>
      <c r="Q232" s="186"/>
      <c r="R232" s="186" t="s">
        <v>873</v>
      </c>
      <c r="S232" s="139"/>
      <c r="V232" s="139"/>
    </row>
    <row r="233" spans="1:22">
      <c r="A233" s="186">
        <f t="shared" si="98"/>
        <v>12</v>
      </c>
      <c r="E233" s="141" t="s">
        <v>1829</v>
      </c>
      <c r="F233" s="141" t="s">
        <v>1756</v>
      </c>
      <c r="G233" s="154" t="str">
        <f t="shared" si="96"/>
        <v>12/</v>
      </c>
      <c r="H233" s="141" t="str">
        <f t="shared" si="97"/>
        <v>12/</v>
      </c>
      <c r="I233" s="139" t="e">
        <f t="shared" si="91"/>
        <v>#NUM!</v>
      </c>
      <c r="J233" s="139" t="e">
        <f t="shared" si="92"/>
        <v>#NUM!</v>
      </c>
      <c r="K233" s="155">
        <f t="shared" si="95"/>
        <v>-1</v>
      </c>
      <c r="N233" s="139">
        <f t="shared" si="93"/>
        <v>0</v>
      </c>
      <c r="O233" s="139">
        <f t="shared" si="94"/>
        <v>1</v>
      </c>
      <c r="P233" s="155"/>
      <c r="Q233" s="186"/>
      <c r="R233" s="186" t="s">
        <v>873</v>
      </c>
      <c r="S233" s="139"/>
      <c r="V233" s="139"/>
    </row>
    <row r="234" spans="1:22">
      <c r="A234" s="186">
        <f t="shared" si="98"/>
        <v>12</v>
      </c>
      <c r="E234" s="141" t="s">
        <v>1829</v>
      </c>
      <c r="F234" s="141" t="s">
        <v>1756</v>
      </c>
      <c r="G234" s="154" t="str">
        <f t="shared" si="96"/>
        <v>12/</v>
      </c>
      <c r="H234" s="141" t="str">
        <f t="shared" si="97"/>
        <v>12/</v>
      </c>
      <c r="I234" s="139" t="e">
        <f t="shared" si="91"/>
        <v>#NUM!</v>
      </c>
      <c r="J234" s="139" t="e">
        <f t="shared" si="92"/>
        <v>#NUM!</v>
      </c>
      <c r="K234" s="155">
        <f t="shared" si="95"/>
        <v>-1</v>
      </c>
      <c r="N234" s="139">
        <f t="shared" si="93"/>
        <v>0</v>
      </c>
      <c r="O234" s="139">
        <f t="shared" si="94"/>
        <v>1</v>
      </c>
      <c r="P234" s="155"/>
      <c r="Q234" s="186"/>
      <c r="R234" s="186" t="s">
        <v>873</v>
      </c>
      <c r="S234" s="139"/>
      <c r="V234" s="139"/>
    </row>
    <row r="235" spans="1:22">
      <c r="A235" s="186">
        <f t="shared" si="98"/>
        <v>12</v>
      </c>
      <c r="E235" s="141" t="s">
        <v>1829</v>
      </c>
      <c r="F235" s="141" t="s">
        <v>1756</v>
      </c>
      <c r="G235" s="154" t="str">
        <f t="shared" si="96"/>
        <v>12/</v>
      </c>
      <c r="H235" s="141" t="str">
        <f t="shared" si="97"/>
        <v>12/</v>
      </c>
      <c r="I235" s="139" t="e">
        <f t="shared" si="91"/>
        <v>#NUM!</v>
      </c>
      <c r="J235" s="139" t="e">
        <f t="shared" si="92"/>
        <v>#NUM!</v>
      </c>
      <c r="K235" s="155">
        <f t="shared" si="95"/>
        <v>-1</v>
      </c>
      <c r="N235" s="139">
        <f t="shared" si="93"/>
        <v>0</v>
      </c>
      <c r="O235" s="139">
        <f t="shared" si="94"/>
        <v>1</v>
      </c>
      <c r="P235" s="155"/>
      <c r="Q235" s="186"/>
      <c r="R235" s="186" t="s">
        <v>873</v>
      </c>
      <c r="S235" s="139"/>
      <c r="V235" s="139"/>
    </row>
    <row r="236" spans="1:22">
      <c r="A236" s="186">
        <f t="shared" si="98"/>
        <v>12</v>
      </c>
      <c r="E236" s="141" t="s">
        <v>1829</v>
      </c>
      <c r="F236" s="141" t="s">
        <v>1756</v>
      </c>
      <c r="G236" s="154" t="str">
        <f t="shared" si="96"/>
        <v>12/</v>
      </c>
      <c r="H236" s="141" t="str">
        <f t="shared" si="97"/>
        <v>12/</v>
      </c>
      <c r="I236" s="139" t="e">
        <f t="shared" si="91"/>
        <v>#NUM!</v>
      </c>
      <c r="J236" s="139" t="e">
        <f t="shared" si="92"/>
        <v>#NUM!</v>
      </c>
      <c r="K236" s="155">
        <f t="shared" si="95"/>
        <v>-1</v>
      </c>
      <c r="N236" s="139">
        <f t="shared" si="93"/>
        <v>0</v>
      </c>
      <c r="O236" s="139">
        <f t="shared" si="94"/>
        <v>1</v>
      </c>
      <c r="P236" s="155"/>
      <c r="Q236" s="186"/>
      <c r="R236" s="186" t="s">
        <v>873</v>
      </c>
      <c r="S236" s="139"/>
      <c r="V236" s="139"/>
    </row>
    <row r="237" spans="1:22">
      <c r="A237" s="186">
        <f t="shared" si="98"/>
        <v>12</v>
      </c>
      <c r="E237" s="141" t="s">
        <v>1829</v>
      </c>
      <c r="F237" s="141" t="s">
        <v>1756</v>
      </c>
      <c r="G237" s="154" t="str">
        <f t="shared" si="96"/>
        <v>12/</v>
      </c>
      <c r="H237" s="141" t="str">
        <f t="shared" si="97"/>
        <v>12/</v>
      </c>
      <c r="I237" s="139" t="e">
        <f t="shared" si="91"/>
        <v>#NUM!</v>
      </c>
      <c r="J237" s="139" t="e">
        <f t="shared" si="92"/>
        <v>#NUM!</v>
      </c>
      <c r="K237" s="155">
        <f t="shared" si="95"/>
        <v>-1</v>
      </c>
      <c r="N237" s="139">
        <f t="shared" si="93"/>
        <v>0</v>
      </c>
      <c r="O237" s="139">
        <f t="shared" si="94"/>
        <v>1</v>
      </c>
      <c r="P237" s="155"/>
      <c r="Q237" s="186"/>
      <c r="R237" s="186" t="s">
        <v>873</v>
      </c>
      <c r="S237" s="139"/>
      <c r="V237" s="139"/>
    </row>
    <row r="238" spans="1:22">
      <c r="A238" s="186">
        <f t="shared" si="98"/>
        <v>12</v>
      </c>
      <c r="E238" s="141" t="s">
        <v>1829</v>
      </c>
      <c r="F238" s="141" t="s">
        <v>1756</v>
      </c>
      <c r="G238" s="154" t="str">
        <f t="shared" si="96"/>
        <v>12/</v>
      </c>
      <c r="H238" s="141" t="str">
        <f t="shared" si="97"/>
        <v>12/</v>
      </c>
      <c r="I238" s="139" t="e">
        <f t="shared" si="91"/>
        <v>#NUM!</v>
      </c>
      <c r="J238" s="139" t="e">
        <f t="shared" si="92"/>
        <v>#NUM!</v>
      </c>
      <c r="K238" s="155">
        <f t="shared" si="95"/>
        <v>-1</v>
      </c>
      <c r="N238" s="139">
        <f t="shared" si="93"/>
        <v>0</v>
      </c>
      <c r="O238" s="139">
        <f t="shared" si="94"/>
        <v>1</v>
      </c>
      <c r="P238" s="155"/>
      <c r="Q238" s="186"/>
      <c r="R238" s="186" t="s">
        <v>873</v>
      </c>
      <c r="S238" s="139"/>
      <c r="V238" s="139"/>
    </row>
    <row r="239" spans="1:22">
      <c r="A239" s="186">
        <f t="shared" si="98"/>
        <v>12</v>
      </c>
      <c r="E239" s="141" t="s">
        <v>1829</v>
      </c>
      <c r="F239" s="141" t="s">
        <v>1756</v>
      </c>
      <c r="G239" s="154" t="str">
        <f t="shared" si="96"/>
        <v>12/</v>
      </c>
      <c r="H239" s="141" t="str">
        <f t="shared" si="97"/>
        <v>12/</v>
      </c>
      <c r="I239" s="139" t="e">
        <f t="shared" si="91"/>
        <v>#NUM!</v>
      </c>
      <c r="J239" s="139" t="e">
        <f t="shared" si="92"/>
        <v>#NUM!</v>
      </c>
      <c r="K239" s="155">
        <f t="shared" si="95"/>
        <v>-1</v>
      </c>
      <c r="N239" s="139">
        <f t="shared" si="93"/>
        <v>0</v>
      </c>
      <c r="O239" s="139">
        <f t="shared" si="94"/>
        <v>1</v>
      </c>
      <c r="P239" s="155"/>
      <c r="Q239" s="186"/>
      <c r="R239" s="186" t="s">
        <v>873</v>
      </c>
      <c r="S239" s="139"/>
      <c r="V239" s="139"/>
    </row>
    <row r="240" spans="1:22">
      <c r="A240" s="186">
        <f t="shared" si="98"/>
        <v>12</v>
      </c>
      <c r="E240" s="141" t="s">
        <v>1829</v>
      </c>
      <c r="F240" s="141" t="s">
        <v>1756</v>
      </c>
      <c r="G240" s="154" t="str">
        <f t="shared" si="96"/>
        <v>12/</v>
      </c>
      <c r="H240" s="141" t="str">
        <f t="shared" si="97"/>
        <v>12/</v>
      </c>
      <c r="I240" s="139" t="e">
        <f t="shared" si="91"/>
        <v>#NUM!</v>
      </c>
      <c r="J240" s="139" t="e">
        <f t="shared" si="92"/>
        <v>#NUM!</v>
      </c>
      <c r="K240" s="155">
        <f t="shared" si="95"/>
        <v>-1</v>
      </c>
      <c r="N240" s="139">
        <f t="shared" si="93"/>
        <v>0</v>
      </c>
      <c r="O240" s="139">
        <f t="shared" si="94"/>
        <v>1</v>
      </c>
      <c r="P240" s="155"/>
      <c r="Q240" s="186"/>
      <c r="R240" s="186" t="s">
        <v>873</v>
      </c>
      <c r="S240" s="139"/>
      <c r="V240" s="139"/>
    </row>
    <row r="241" spans="1:22">
      <c r="A241" s="186">
        <f t="shared" si="98"/>
        <v>12</v>
      </c>
      <c r="E241" s="141" t="s">
        <v>1829</v>
      </c>
      <c r="F241" s="141" t="s">
        <v>1756</v>
      </c>
      <c r="G241" s="154" t="str">
        <f t="shared" si="96"/>
        <v>12/</v>
      </c>
      <c r="H241" s="141" t="str">
        <f t="shared" si="97"/>
        <v>12/</v>
      </c>
      <c r="I241" s="139" t="e">
        <f t="shared" si="91"/>
        <v>#NUM!</v>
      </c>
      <c r="J241" s="139" t="e">
        <f t="shared" si="92"/>
        <v>#NUM!</v>
      </c>
      <c r="K241" s="155">
        <f t="shared" si="95"/>
        <v>-1</v>
      </c>
      <c r="N241" s="139">
        <f t="shared" si="93"/>
        <v>0</v>
      </c>
      <c r="O241" s="139">
        <f t="shared" si="94"/>
        <v>1</v>
      </c>
      <c r="P241" s="155"/>
      <c r="Q241" s="186"/>
      <c r="R241" s="186" t="s">
        <v>873</v>
      </c>
      <c r="S241" s="139"/>
      <c r="V241" s="139"/>
    </row>
    <row r="242" spans="1:22">
      <c r="A242" s="186">
        <f t="shared" si="98"/>
        <v>12</v>
      </c>
      <c r="E242" s="141" t="s">
        <v>1829</v>
      </c>
      <c r="F242" s="141" t="s">
        <v>1756</v>
      </c>
      <c r="G242" s="154" t="str">
        <f t="shared" si="96"/>
        <v>12/</v>
      </c>
      <c r="H242" s="141" t="str">
        <f t="shared" si="97"/>
        <v>12/</v>
      </c>
      <c r="I242" s="139" t="e">
        <f t="shared" si="91"/>
        <v>#NUM!</v>
      </c>
      <c r="J242" s="139" t="e">
        <f t="shared" si="92"/>
        <v>#NUM!</v>
      </c>
      <c r="K242" s="155">
        <f t="shared" si="95"/>
        <v>-1</v>
      </c>
      <c r="N242" s="139">
        <f t="shared" si="93"/>
        <v>0</v>
      </c>
      <c r="O242" s="139">
        <f t="shared" si="94"/>
        <v>1</v>
      </c>
      <c r="P242" s="155"/>
      <c r="Q242" s="186"/>
      <c r="R242" s="186" t="s">
        <v>873</v>
      </c>
      <c r="S242" s="139"/>
      <c r="V242" s="139"/>
    </row>
    <row r="243" spans="1:22">
      <c r="A243" s="186">
        <f t="shared" si="98"/>
        <v>12</v>
      </c>
      <c r="E243" s="141" t="s">
        <v>1829</v>
      </c>
      <c r="F243" s="141" t="s">
        <v>1756</v>
      </c>
      <c r="G243" s="154" t="str">
        <f t="shared" si="96"/>
        <v>12/</v>
      </c>
      <c r="H243" s="141" t="str">
        <f t="shared" si="97"/>
        <v>12/</v>
      </c>
      <c r="I243" s="139" t="e">
        <f t="shared" ref="I243:I306" si="99">DAY(K243)</f>
        <v>#NUM!</v>
      </c>
      <c r="J243" s="139" t="e">
        <f t="shared" ref="J243:J306" si="100">MONTH(K243)</f>
        <v>#NUM!</v>
      </c>
      <c r="K243" s="155">
        <f t="shared" si="95"/>
        <v>-1</v>
      </c>
      <c r="N243" s="139">
        <f t="shared" ref="N243:N306" si="101">DAY(P243)</f>
        <v>0</v>
      </c>
      <c r="O243" s="139">
        <f t="shared" ref="O243:O306" si="102">MONTH(P243)</f>
        <v>1</v>
      </c>
      <c r="P243" s="155"/>
      <c r="Q243" s="186"/>
      <c r="R243" s="186" t="s">
        <v>873</v>
      </c>
      <c r="S243" s="139"/>
      <c r="V243" s="139"/>
    </row>
    <row r="244" spans="1:22">
      <c r="A244" s="186">
        <f t="shared" si="98"/>
        <v>12</v>
      </c>
      <c r="E244" s="141" t="s">
        <v>1829</v>
      </c>
      <c r="F244" s="141" t="s">
        <v>1756</v>
      </c>
      <c r="G244" s="154" t="str">
        <f t="shared" si="96"/>
        <v>12/</v>
      </c>
      <c r="H244" s="141" t="str">
        <f t="shared" si="97"/>
        <v>12/</v>
      </c>
      <c r="I244" s="139" t="e">
        <f t="shared" si="99"/>
        <v>#NUM!</v>
      </c>
      <c r="J244" s="139" t="e">
        <f t="shared" si="100"/>
        <v>#NUM!</v>
      </c>
      <c r="K244" s="155">
        <f t="shared" si="95"/>
        <v>-1</v>
      </c>
      <c r="N244" s="139">
        <f t="shared" si="101"/>
        <v>0</v>
      </c>
      <c r="O244" s="139">
        <f t="shared" si="102"/>
        <v>1</v>
      </c>
      <c r="P244" s="155"/>
      <c r="Q244" s="186"/>
      <c r="R244" s="186" t="s">
        <v>873</v>
      </c>
      <c r="S244" s="139"/>
      <c r="V244" s="139"/>
    </row>
    <row r="245" spans="1:22">
      <c r="A245" s="186">
        <f t="shared" si="98"/>
        <v>12</v>
      </c>
      <c r="E245" s="141" t="s">
        <v>1829</v>
      </c>
      <c r="F245" s="141" t="s">
        <v>1756</v>
      </c>
      <c r="G245" s="154" t="str">
        <f t="shared" si="96"/>
        <v>12/</v>
      </c>
      <c r="H245" s="141" t="str">
        <f t="shared" si="97"/>
        <v>12/</v>
      </c>
      <c r="I245" s="139" t="e">
        <f t="shared" si="99"/>
        <v>#NUM!</v>
      </c>
      <c r="J245" s="139" t="e">
        <f t="shared" si="100"/>
        <v>#NUM!</v>
      </c>
      <c r="K245" s="155">
        <f t="shared" si="95"/>
        <v>-1</v>
      </c>
      <c r="N245" s="139">
        <f t="shared" si="101"/>
        <v>0</v>
      </c>
      <c r="O245" s="139">
        <f t="shared" si="102"/>
        <v>1</v>
      </c>
      <c r="P245" s="155"/>
      <c r="Q245" s="186"/>
      <c r="R245" s="186" t="s">
        <v>873</v>
      </c>
      <c r="S245" s="139"/>
      <c r="V245" s="139"/>
    </row>
    <row r="246" spans="1:22">
      <c r="A246" s="186">
        <f t="shared" si="98"/>
        <v>12</v>
      </c>
      <c r="E246" s="141" t="s">
        <v>1829</v>
      </c>
      <c r="F246" s="141" t="s">
        <v>1756</v>
      </c>
      <c r="G246" s="154" t="str">
        <f t="shared" si="96"/>
        <v>12/</v>
      </c>
      <c r="H246" s="141" t="str">
        <f t="shared" si="97"/>
        <v>12/</v>
      </c>
      <c r="I246" s="139" t="e">
        <f t="shared" si="99"/>
        <v>#NUM!</v>
      </c>
      <c r="J246" s="139" t="e">
        <f t="shared" si="100"/>
        <v>#NUM!</v>
      </c>
      <c r="K246" s="155">
        <f t="shared" si="95"/>
        <v>-1</v>
      </c>
      <c r="N246" s="139">
        <f t="shared" si="101"/>
        <v>0</v>
      </c>
      <c r="O246" s="139">
        <f t="shared" si="102"/>
        <v>1</v>
      </c>
      <c r="P246" s="155"/>
      <c r="Q246" s="186"/>
      <c r="R246" s="186" t="s">
        <v>873</v>
      </c>
      <c r="S246" s="139"/>
      <c r="V246" s="139"/>
    </row>
    <row r="247" spans="1:22">
      <c r="A247" s="186">
        <f t="shared" si="98"/>
        <v>12</v>
      </c>
      <c r="E247" s="141" t="s">
        <v>1829</v>
      </c>
      <c r="F247" s="141" t="s">
        <v>1756</v>
      </c>
      <c r="G247" s="154" t="str">
        <f t="shared" si="96"/>
        <v>12/</v>
      </c>
      <c r="H247" s="141" t="str">
        <f t="shared" si="97"/>
        <v>12/</v>
      </c>
      <c r="I247" s="139" t="e">
        <f t="shared" si="99"/>
        <v>#NUM!</v>
      </c>
      <c r="J247" s="139" t="e">
        <f t="shared" si="100"/>
        <v>#NUM!</v>
      </c>
      <c r="K247" s="155">
        <f t="shared" si="95"/>
        <v>-1</v>
      </c>
      <c r="N247" s="139">
        <f t="shared" si="101"/>
        <v>0</v>
      </c>
      <c r="O247" s="139">
        <f t="shared" si="102"/>
        <v>1</v>
      </c>
      <c r="P247" s="155"/>
      <c r="Q247" s="186"/>
      <c r="R247" s="186" t="s">
        <v>873</v>
      </c>
      <c r="S247" s="139"/>
      <c r="V247" s="139"/>
    </row>
    <row r="248" spans="1:22">
      <c r="A248" s="186">
        <f t="shared" si="98"/>
        <v>12</v>
      </c>
      <c r="E248" s="141" t="s">
        <v>1829</v>
      </c>
      <c r="F248" s="141" t="s">
        <v>1756</v>
      </c>
      <c r="G248" s="154" t="str">
        <f t="shared" si="96"/>
        <v>12/</v>
      </c>
      <c r="H248" s="141" t="str">
        <f t="shared" si="97"/>
        <v>12/</v>
      </c>
      <c r="I248" s="139" t="e">
        <f t="shared" si="99"/>
        <v>#NUM!</v>
      </c>
      <c r="J248" s="139" t="e">
        <f t="shared" si="100"/>
        <v>#NUM!</v>
      </c>
      <c r="K248" s="155">
        <f t="shared" si="95"/>
        <v>-1</v>
      </c>
      <c r="N248" s="139">
        <f t="shared" si="101"/>
        <v>0</v>
      </c>
      <c r="O248" s="139">
        <f t="shared" si="102"/>
        <v>1</v>
      </c>
      <c r="P248" s="155"/>
      <c r="Q248" s="186"/>
      <c r="R248" s="186" t="s">
        <v>873</v>
      </c>
      <c r="S248" s="139"/>
      <c r="V248" s="139"/>
    </row>
    <row r="249" spans="1:22">
      <c r="A249" s="186">
        <f t="shared" si="98"/>
        <v>12</v>
      </c>
      <c r="E249" s="141" t="s">
        <v>1829</v>
      </c>
      <c r="F249" s="141" t="s">
        <v>1756</v>
      </c>
      <c r="G249" s="154" t="str">
        <f t="shared" si="96"/>
        <v>12/</v>
      </c>
      <c r="H249" s="141" t="str">
        <f t="shared" si="97"/>
        <v>12/</v>
      </c>
      <c r="I249" s="139" t="e">
        <f t="shared" si="99"/>
        <v>#NUM!</v>
      </c>
      <c r="J249" s="139" t="e">
        <f t="shared" si="100"/>
        <v>#NUM!</v>
      </c>
      <c r="K249" s="155">
        <f t="shared" si="95"/>
        <v>-1</v>
      </c>
      <c r="N249" s="139">
        <f t="shared" si="101"/>
        <v>0</v>
      </c>
      <c r="O249" s="139">
        <f t="shared" si="102"/>
        <v>1</v>
      </c>
      <c r="P249" s="155"/>
      <c r="Q249" s="186"/>
      <c r="R249" s="186" t="s">
        <v>873</v>
      </c>
      <c r="S249" s="139"/>
      <c r="V249" s="139"/>
    </row>
    <row r="250" spans="1:22">
      <c r="A250" s="186">
        <f t="shared" si="98"/>
        <v>12</v>
      </c>
      <c r="E250" s="141" t="s">
        <v>1829</v>
      </c>
      <c r="F250" s="141" t="s">
        <v>1756</v>
      </c>
      <c r="G250" s="154" t="str">
        <f t="shared" si="96"/>
        <v>12/</v>
      </c>
      <c r="H250" s="141" t="str">
        <f t="shared" si="97"/>
        <v>12/</v>
      </c>
      <c r="I250" s="139" t="e">
        <f t="shared" si="99"/>
        <v>#NUM!</v>
      </c>
      <c r="J250" s="139" t="e">
        <f t="shared" si="100"/>
        <v>#NUM!</v>
      </c>
      <c r="K250" s="155">
        <f t="shared" ref="K250:K313" si="103">P250-1</f>
        <v>-1</v>
      </c>
      <c r="N250" s="139">
        <f t="shared" si="101"/>
        <v>0</v>
      </c>
      <c r="O250" s="139">
        <f t="shared" si="102"/>
        <v>1</v>
      </c>
      <c r="P250" s="155"/>
      <c r="Q250" s="186"/>
      <c r="R250" s="186" t="s">
        <v>873</v>
      </c>
      <c r="S250" s="139"/>
      <c r="V250" s="139"/>
    </row>
    <row r="251" spans="1:22">
      <c r="A251" s="186">
        <f t="shared" si="98"/>
        <v>12</v>
      </c>
      <c r="E251" s="141" t="s">
        <v>1829</v>
      </c>
      <c r="F251" s="141" t="s">
        <v>1756</v>
      </c>
      <c r="G251" s="154" t="str">
        <f t="shared" si="96"/>
        <v>12/</v>
      </c>
      <c r="H251" s="141" t="str">
        <f t="shared" si="97"/>
        <v>12/</v>
      </c>
      <c r="I251" s="139" t="e">
        <f t="shared" si="99"/>
        <v>#NUM!</v>
      </c>
      <c r="J251" s="139" t="e">
        <f t="shared" si="100"/>
        <v>#NUM!</v>
      </c>
      <c r="K251" s="155">
        <f t="shared" si="103"/>
        <v>-1</v>
      </c>
      <c r="N251" s="139">
        <f t="shared" si="101"/>
        <v>0</v>
      </c>
      <c r="O251" s="139">
        <f t="shared" si="102"/>
        <v>1</v>
      </c>
      <c r="P251" s="155"/>
      <c r="Q251" s="186"/>
      <c r="R251" s="186" t="s">
        <v>873</v>
      </c>
      <c r="S251" s="139"/>
      <c r="V251" s="139"/>
    </row>
    <row r="252" spans="1:22">
      <c r="A252" s="186">
        <f t="shared" si="98"/>
        <v>12</v>
      </c>
      <c r="E252" s="141" t="s">
        <v>1829</v>
      </c>
      <c r="F252" s="141" t="s">
        <v>1756</v>
      </c>
      <c r="G252" s="154" t="str">
        <f t="shared" si="96"/>
        <v>12/</v>
      </c>
      <c r="H252" s="141" t="str">
        <f t="shared" si="97"/>
        <v>12/</v>
      </c>
      <c r="I252" s="139" t="e">
        <f t="shared" si="99"/>
        <v>#NUM!</v>
      </c>
      <c r="J252" s="139" t="e">
        <f t="shared" si="100"/>
        <v>#NUM!</v>
      </c>
      <c r="K252" s="155">
        <f t="shared" si="103"/>
        <v>-1</v>
      </c>
      <c r="N252" s="139">
        <f t="shared" si="101"/>
        <v>0</v>
      </c>
      <c r="O252" s="139">
        <f t="shared" si="102"/>
        <v>1</v>
      </c>
      <c r="P252" s="155"/>
      <c r="Q252" s="186"/>
      <c r="R252" s="186" t="s">
        <v>873</v>
      </c>
      <c r="S252" s="139"/>
      <c r="V252" s="139"/>
    </row>
    <row r="253" spans="1:22">
      <c r="A253" s="186">
        <f t="shared" si="98"/>
        <v>12</v>
      </c>
      <c r="E253" s="141" t="s">
        <v>1829</v>
      </c>
      <c r="F253" s="141" t="s">
        <v>1756</v>
      </c>
      <c r="G253" s="154" t="str">
        <f t="shared" si="96"/>
        <v>12/</v>
      </c>
      <c r="H253" s="141" t="str">
        <f t="shared" si="97"/>
        <v>12/</v>
      </c>
      <c r="I253" s="139" t="e">
        <f t="shared" si="99"/>
        <v>#NUM!</v>
      </c>
      <c r="J253" s="139" t="e">
        <f t="shared" si="100"/>
        <v>#NUM!</v>
      </c>
      <c r="K253" s="155">
        <f t="shared" si="103"/>
        <v>-1</v>
      </c>
      <c r="N253" s="139">
        <f t="shared" si="101"/>
        <v>0</v>
      </c>
      <c r="O253" s="139">
        <f t="shared" si="102"/>
        <v>1</v>
      </c>
      <c r="P253" s="155"/>
      <c r="Q253" s="186"/>
      <c r="R253" s="186" t="s">
        <v>873</v>
      </c>
      <c r="S253" s="139"/>
      <c r="V253" s="139"/>
    </row>
    <row r="254" spans="1:22">
      <c r="A254" s="186">
        <f t="shared" si="98"/>
        <v>12</v>
      </c>
      <c r="E254" s="141" t="s">
        <v>1829</v>
      </c>
      <c r="F254" s="141" t="s">
        <v>1756</v>
      </c>
      <c r="G254" s="154" t="str">
        <f t="shared" si="96"/>
        <v>12/</v>
      </c>
      <c r="H254" s="141" t="str">
        <f t="shared" si="97"/>
        <v>12/</v>
      </c>
      <c r="I254" s="139" t="e">
        <f t="shared" si="99"/>
        <v>#NUM!</v>
      </c>
      <c r="J254" s="139" t="e">
        <f t="shared" si="100"/>
        <v>#NUM!</v>
      </c>
      <c r="K254" s="155">
        <f t="shared" si="103"/>
        <v>-1</v>
      </c>
      <c r="N254" s="139">
        <f t="shared" si="101"/>
        <v>0</v>
      </c>
      <c r="O254" s="139">
        <f t="shared" si="102"/>
        <v>1</v>
      </c>
      <c r="P254" s="155"/>
      <c r="Q254" s="186"/>
      <c r="R254" s="186" t="s">
        <v>873</v>
      </c>
      <c r="S254" s="139"/>
      <c r="V254" s="139"/>
    </row>
    <row r="255" spans="1:22">
      <c r="A255" s="186">
        <f t="shared" si="98"/>
        <v>12</v>
      </c>
      <c r="E255" s="141" t="s">
        <v>1829</v>
      </c>
      <c r="F255" s="141" t="s">
        <v>1756</v>
      </c>
      <c r="G255" s="154" t="str">
        <f t="shared" si="96"/>
        <v>12/</v>
      </c>
      <c r="H255" s="141" t="str">
        <f t="shared" si="97"/>
        <v>12/</v>
      </c>
      <c r="I255" s="139" t="e">
        <f t="shared" si="99"/>
        <v>#NUM!</v>
      </c>
      <c r="J255" s="139" t="e">
        <f t="shared" si="100"/>
        <v>#NUM!</v>
      </c>
      <c r="K255" s="155">
        <f t="shared" si="103"/>
        <v>-1</v>
      </c>
      <c r="N255" s="139">
        <f t="shared" si="101"/>
        <v>0</v>
      </c>
      <c r="O255" s="139">
        <f t="shared" si="102"/>
        <v>1</v>
      </c>
      <c r="P255" s="155"/>
      <c r="Q255" s="186"/>
      <c r="R255" s="186" t="s">
        <v>873</v>
      </c>
      <c r="S255" s="139"/>
      <c r="V255" s="139"/>
    </row>
    <row r="256" spans="1:22">
      <c r="A256" s="186">
        <f t="shared" si="98"/>
        <v>12</v>
      </c>
      <c r="E256" s="141" t="s">
        <v>1829</v>
      </c>
      <c r="F256" s="141" t="s">
        <v>1756</v>
      </c>
      <c r="G256" s="154" t="str">
        <f t="shared" si="96"/>
        <v>12/</v>
      </c>
      <c r="H256" s="141" t="str">
        <f t="shared" si="97"/>
        <v>12/</v>
      </c>
      <c r="I256" s="139" t="e">
        <f t="shared" si="99"/>
        <v>#NUM!</v>
      </c>
      <c r="J256" s="139" t="e">
        <f t="shared" si="100"/>
        <v>#NUM!</v>
      </c>
      <c r="K256" s="155">
        <f t="shared" si="103"/>
        <v>-1</v>
      </c>
      <c r="N256" s="139">
        <f t="shared" si="101"/>
        <v>0</v>
      </c>
      <c r="O256" s="139">
        <f t="shared" si="102"/>
        <v>1</v>
      </c>
      <c r="P256" s="155"/>
      <c r="Q256" s="186"/>
      <c r="R256" s="186" t="s">
        <v>873</v>
      </c>
      <c r="S256" s="139"/>
      <c r="V256" s="139"/>
    </row>
    <row r="257" spans="1:22">
      <c r="A257" s="186">
        <f t="shared" si="98"/>
        <v>12</v>
      </c>
      <c r="E257" s="141" t="s">
        <v>1829</v>
      </c>
      <c r="F257" s="141" t="s">
        <v>1756</v>
      </c>
      <c r="G257" s="154" t="str">
        <f t="shared" ref="G257:G320" si="104">A257&amp;"/"&amp;B257</f>
        <v>12/</v>
      </c>
      <c r="H257" s="141" t="str">
        <f t="shared" ref="H257:H320" si="105">A257&amp;"/"&amp;B257</f>
        <v>12/</v>
      </c>
      <c r="I257" s="139" t="e">
        <f t="shared" si="99"/>
        <v>#NUM!</v>
      </c>
      <c r="J257" s="139" t="e">
        <f t="shared" si="100"/>
        <v>#NUM!</v>
      </c>
      <c r="K257" s="155">
        <f t="shared" si="103"/>
        <v>-1</v>
      </c>
      <c r="N257" s="139">
        <f t="shared" si="101"/>
        <v>0</v>
      </c>
      <c r="O257" s="139">
        <f t="shared" si="102"/>
        <v>1</v>
      </c>
      <c r="P257" s="155"/>
      <c r="Q257" s="186"/>
      <c r="R257" s="186" t="s">
        <v>873</v>
      </c>
      <c r="S257" s="139"/>
      <c r="V257" s="139"/>
    </row>
    <row r="258" spans="1:22">
      <c r="A258" s="186">
        <f t="shared" si="98"/>
        <v>12</v>
      </c>
      <c r="E258" s="141" t="s">
        <v>1829</v>
      </c>
      <c r="F258" s="141" t="s">
        <v>1756</v>
      </c>
      <c r="G258" s="154" t="str">
        <f t="shared" si="104"/>
        <v>12/</v>
      </c>
      <c r="H258" s="141" t="str">
        <f t="shared" si="105"/>
        <v>12/</v>
      </c>
      <c r="I258" s="139" t="e">
        <f t="shared" si="99"/>
        <v>#NUM!</v>
      </c>
      <c r="J258" s="139" t="e">
        <f t="shared" si="100"/>
        <v>#NUM!</v>
      </c>
      <c r="K258" s="155">
        <f t="shared" si="103"/>
        <v>-1</v>
      </c>
      <c r="N258" s="139">
        <f t="shared" si="101"/>
        <v>0</v>
      </c>
      <c r="O258" s="139">
        <f t="shared" si="102"/>
        <v>1</v>
      </c>
      <c r="P258" s="155"/>
      <c r="Q258" s="186"/>
      <c r="R258" s="186" t="s">
        <v>873</v>
      </c>
      <c r="S258" s="139"/>
      <c r="V258" s="139"/>
    </row>
    <row r="259" spans="1:22">
      <c r="A259" s="186">
        <f t="shared" si="98"/>
        <v>12</v>
      </c>
      <c r="E259" s="141" t="s">
        <v>1829</v>
      </c>
      <c r="F259" s="141" t="s">
        <v>1756</v>
      </c>
      <c r="G259" s="154" t="str">
        <f t="shared" si="104"/>
        <v>12/</v>
      </c>
      <c r="H259" s="141" t="str">
        <f t="shared" si="105"/>
        <v>12/</v>
      </c>
      <c r="I259" s="139" t="e">
        <f t="shared" si="99"/>
        <v>#NUM!</v>
      </c>
      <c r="J259" s="139" t="e">
        <f t="shared" si="100"/>
        <v>#NUM!</v>
      </c>
      <c r="K259" s="155">
        <f t="shared" si="103"/>
        <v>-1</v>
      </c>
      <c r="N259" s="139">
        <f t="shared" si="101"/>
        <v>0</v>
      </c>
      <c r="O259" s="139">
        <f t="shared" si="102"/>
        <v>1</v>
      </c>
      <c r="P259" s="155"/>
      <c r="Q259" s="186"/>
      <c r="R259" s="186" t="s">
        <v>873</v>
      </c>
      <c r="S259" s="139"/>
      <c r="V259" s="139"/>
    </row>
    <row r="260" spans="1:22">
      <c r="A260" s="186">
        <f t="shared" si="98"/>
        <v>12</v>
      </c>
      <c r="E260" s="141" t="s">
        <v>1829</v>
      </c>
      <c r="F260" s="141" t="s">
        <v>1756</v>
      </c>
      <c r="G260" s="154" t="str">
        <f t="shared" si="104"/>
        <v>12/</v>
      </c>
      <c r="H260" s="141" t="str">
        <f t="shared" si="105"/>
        <v>12/</v>
      </c>
      <c r="I260" s="139" t="e">
        <f t="shared" si="99"/>
        <v>#NUM!</v>
      </c>
      <c r="J260" s="139" t="e">
        <f t="shared" si="100"/>
        <v>#NUM!</v>
      </c>
      <c r="K260" s="155">
        <f t="shared" si="103"/>
        <v>-1</v>
      </c>
      <c r="N260" s="139">
        <f t="shared" si="101"/>
        <v>0</v>
      </c>
      <c r="O260" s="139">
        <f t="shared" si="102"/>
        <v>1</v>
      </c>
      <c r="P260" s="155"/>
      <c r="Q260" s="186"/>
      <c r="R260" s="186" t="s">
        <v>873</v>
      </c>
      <c r="S260" s="139"/>
      <c r="V260" s="139"/>
    </row>
    <row r="261" spans="1:22">
      <c r="A261" s="186">
        <f t="shared" si="98"/>
        <v>12</v>
      </c>
      <c r="E261" s="141" t="s">
        <v>1829</v>
      </c>
      <c r="F261" s="141" t="s">
        <v>1756</v>
      </c>
      <c r="G261" s="154" t="str">
        <f t="shared" si="104"/>
        <v>12/</v>
      </c>
      <c r="H261" s="141" t="str">
        <f t="shared" si="105"/>
        <v>12/</v>
      </c>
      <c r="I261" s="139" t="e">
        <f t="shared" si="99"/>
        <v>#NUM!</v>
      </c>
      <c r="J261" s="139" t="e">
        <f t="shared" si="100"/>
        <v>#NUM!</v>
      </c>
      <c r="K261" s="155">
        <f t="shared" si="103"/>
        <v>-1</v>
      </c>
      <c r="N261" s="139">
        <f t="shared" si="101"/>
        <v>0</v>
      </c>
      <c r="O261" s="139">
        <f t="shared" si="102"/>
        <v>1</v>
      </c>
      <c r="P261" s="155"/>
      <c r="Q261" s="186"/>
      <c r="R261" s="186" t="s">
        <v>873</v>
      </c>
      <c r="S261" s="139"/>
      <c r="V261" s="139"/>
    </row>
    <row r="262" spans="1:22">
      <c r="A262" s="186">
        <f t="shared" si="98"/>
        <v>12</v>
      </c>
      <c r="E262" s="141" t="s">
        <v>1829</v>
      </c>
      <c r="F262" s="141" t="s">
        <v>1756</v>
      </c>
      <c r="G262" s="154" t="str">
        <f t="shared" si="104"/>
        <v>12/</v>
      </c>
      <c r="H262" s="141" t="str">
        <f t="shared" si="105"/>
        <v>12/</v>
      </c>
      <c r="I262" s="139" t="e">
        <f t="shared" si="99"/>
        <v>#NUM!</v>
      </c>
      <c r="J262" s="139" t="e">
        <f t="shared" si="100"/>
        <v>#NUM!</v>
      </c>
      <c r="K262" s="155">
        <f t="shared" si="103"/>
        <v>-1</v>
      </c>
      <c r="N262" s="139">
        <f t="shared" si="101"/>
        <v>0</v>
      </c>
      <c r="O262" s="139">
        <f t="shared" si="102"/>
        <v>1</v>
      </c>
      <c r="P262" s="155"/>
      <c r="Q262" s="186"/>
      <c r="R262" s="186" t="s">
        <v>873</v>
      </c>
      <c r="S262" s="139"/>
      <c r="V262" s="139"/>
    </row>
    <row r="263" spans="1:22">
      <c r="A263" s="186">
        <f t="shared" si="98"/>
        <v>12</v>
      </c>
      <c r="E263" s="141" t="s">
        <v>1829</v>
      </c>
      <c r="F263" s="141" t="s">
        <v>1756</v>
      </c>
      <c r="G263" s="154" t="str">
        <f t="shared" si="104"/>
        <v>12/</v>
      </c>
      <c r="H263" s="141" t="str">
        <f t="shared" si="105"/>
        <v>12/</v>
      </c>
      <c r="I263" s="139" t="e">
        <f t="shared" si="99"/>
        <v>#NUM!</v>
      </c>
      <c r="J263" s="139" t="e">
        <f t="shared" si="100"/>
        <v>#NUM!</v>
      </c>
      <c r="K263" s="155">
        <f t="shared" si="103"/>
        <v>-1</v>
      </c>
      <c r="N263" s="139">
        <f t="shared" si="101"/>
        <v>0</v>
      </c>
      <c r="O263" s="139">
        <f t="shared" si="102"/>
        <v>1</v>
      </c>
      <c r="P263" s="155"/>
      <c r="Q263" s="186"/>
      <c r="R263" s="186" t="s">
        <v>873</v>
      </c>
      <c r="S263" s="139"/>
      <c r="V263" s="139"/>
    </row>
    <row r="264" spans="1:22">
      <c r="A264" s="186">
        <f t="shared" si="98"/>
        <v>12</v>
      </c>
      <c r="E264" s="141" t="s">
        <v>1829</v>
      </c>
      <c r="F264" s="141" t="s">
        <v>1756</v>
      </c>
      <c r="G264" s="154" t="str">
        <f t="shared" si="104"/>
        <v>12/</v>
      </c>
      <c r="H264" s="141" t="str">
        <f t="shared" si="105"/>
        <v>12/</v>
      </c>
      <c r="I264" s="139" t="e">
        <f t="shared" si="99"/>
        <v>#NUM!</v>
      </c>
      <c r="J264" s="139" t="e">
        <f t="shared" si="100"/>
        <v>#NUM!</v>
      </c>
      <c r="K264" s="155">
        <f t="shared" si="103"/>
        <v>-1</v>
      </c>
      <c r="N264" s="139">
        <f t="shared" si="101"/>
        <v>0</v>
      </c>
      <c r="O264" s="139">
        <f t="shared" si="102"/>
        <v>1</v>
      </c>
      <c r="P264" s="155"/>
      <c r="Q264" s="186"/>
      <c r="R264" s="186" t="s">
        <v>873</v>
      </c>
      <c r="S264" s="139"/>
      <c r="V264" s="139"/>
    </row>
    <row r="265" spans="1:22">
      <c r="A265" s="186">
        <f t="shared" si="98"/>
        <v>12</v>
      </c>
      <c r="E265" s="141" t="s">
        <v>1829</v>
      </c>
      <c r="F265" s="141" t="s">
        <v>1756</v>
      </c>
      <c r="G265" s="154" t="str">
        <f t="shared" si="104"/>
        <v>12/</v>
      </c>
      <c r="H265" s="141" t="str">
        <f t="shared" si="105"/>
        <v>12/</v>
      </c>
      <c r="I265" s="139" t="e">
        <f t="shared" si="99"/>
        <v>#NUM!</v>
      </c>
      <c r="J265" s="139" t="e">
        <f t="shared" si="100"/>
        <v>#NUM!</v>
      </c>
      <c r="K265" s="155">
        <f t="shared" si="103"/>
        <v>-1</v>
      </c>
      <c r="N265" s="139">
        <f t="shared" si="101"/>
        <v>0</v>
      </c>
      <c r="O265" s="139">
        <f t="shared" si="102"/>
        <v>1</v>
      </c>
      <c r="P265" s="155"/>
      <c r="Q265" s="186"/>
      <c r="R265" s="186" t="s">
        <v>873</v>
      </c>
      <c r="S265" s="139"/>
      <c r="V265" s="139"/>
    </row>
    <row r="266" spans="1:22">
      <c r="A266" s="186">
        <f t="shared" si="98"/>
        <v>12</v>
      </c>
      <c r="E266" s="141" t="s">
        <v>1829</v>
      </c>
      <c r="F266" s="141" t="s">
        <v>1756</v>
      </c>
      <c r="G266" s="154" t="str">
        <f t="shared" si="104"/>
        <v>12/</v>
      </c>
      <c r="H266" s="141" t="str">
        <f t="shared" si="105"/>
        <v>12/</v>
      </c>
      <c r="I266" s="139" t="e">
        <f t="shared" si="99"/>
        <v>#NUM!</v>
      </c>
      <c r="J266" s="139" t="e">
        <f t="shared" si="100"/>
        <v>#NUM!</v>
      </c>
      <c r="K266" s="155">
        <f t="shared" si="103"/>
        <v>-1</v>
      </c>
      <c r="N266" s="139">
        <f t="shared" si="101"/>
        <v>0</v>
      </c>
      <c r="O266" s="139">
        <f t="shared" si="102"/>
        <v>1</v>
      </c>
      <c r="P266" s="155"/>
      <c r="Q266" s="186"/>
      <c r="R266" s="186" t="s">
        <v>873</v>
      </c>
      <c r="S266" s="139"/>
      <c r="V266" s="139"/>
    </row>
    <row r="267" spans="1:22">
      <c r="A267" s="186">
        <f t="shared" si="98"/>
        <v>12</v>
      </c>
      <c r="E267" s="141" t="s">
        <v>1829</v>
      </c>
      <c r="F267" s="141" t="s">
        <v>1756</v>
      </c>
      <c r="G267" s="154" t="str">
        <f t="shared" si="104"/>
        <v>12/</v>
      </c>
      <c r="H267" s="141" t="str">
        <f t="shared" si="105"/>
        <v>12/</v>
      </c>
      <c r="I267" s="139" t="e">
        <f t="shared" si="99"/>
        <v>#NUM!</v>
      </c>
      <c r="J267" s="139" t="e">
        <f t="shared" si="100"/>
        <v>#NUM!</v>
      </c>
      <c r="K267" s="155">
        <f t="shared" si="103"/>
        <v>-1</v>
      </c>
      <c r="N267" s="139">
        <f t="shared" si="101"/>
        <v>0</v>
      </c>
      <c r="O267" s="139">
        <f t="shared" si="102"/>
        <v>1</v>
      </c>
      <c r="P267" s="155"/>
      <c r="Q267" s="186"/>
      <c r="R267" s="186" t="s">
        <v>873</v>
      </c>
      <c r="S267" s="139"/>
      <c r="V267" s="139"/>
    </row>
    <row r="268" spans="1:22">
      <c r="A268" s="186">
        <f t="shared" si="98"/>
        <v>12</v>
      </c>
      <c r="E268" s="141" t="s">
        <v>1829</v>
      </c>
      <c r="F268" s="141" t="s">
        <v>1756</v>
      </c>
      <c r="G268" s="154" t="str">
        <f t="shared" si="104"/>
        <v>12/</v>
      </c>
      <c r="H268" s="141" t="str">
        <f t="shared" si="105"/>
        <v>12/</v>
      </c>
      <c r="I268" s="139" t="e">
        <f t="shared" si="99"/>
        <v>#NUM!</v>
      </c>
      <c r="J268" s="139" t="e">
        <f t="shared" si="100"/>
        <v>#NUM!</v>
      </c>
      <c r="K268" s="155">
        <f t="shared" si="103"/>
        <v>-1</v>
      </c>
      <c r="N268" s="139">
        <f t="shared" si="101"/>
        <v>0</v>
      </c>
      <c r="O268" s="139">
        <f t="shared" si="102"/>
        <v>1</v>
      </c>
      <c r="P268" s="155"/>
      <c r="Q268" s="186"/>
      <c r="R268" s="186" t="s">
        <v>873</v>
      </c>
      <c r="S268" s="139"/>
      <c r="V268" s="139"/>
    </row>
    <row r="269" spans="1:22">
      <c r="A269" s="186">
        <f t="shared" si="98"/>
        <v>12</v>
      </c>
      <c r="E269" s="141" t="s">
        <v>1829</v>
      </c>
      <c r="F269" s="141" t="s">
        <v>1756</v>
      </c>
      <c r="G269" s="154" t="str">
        <f t="shared" si="104"/>
        <v>12/</v>
      </c>
      <c r="H269" s="141" t="str">
        <f t="shared" si="105"/>
        <v>12/</v>
      </c>
      <c r="I269" s="139" t="e">
        <f t="shared" si="99"/>
        <v>#NUM!</v>
      </c>
      <c r="J269" s="139" t="e">
        <f t="shared" si="100"/>
        <v>#NUM!</v>
      </c>
      <c r="K269" s="155">
        <f t="shared" si="103"/>
        <v>-1</v>
      </c>
      <c r="N269" s="139">
        <f t="shared" si="101"/>
        <v>0</v>
      </c>
      <c r="O269" s="139">
        <f t="shared" si="102"/>
        <v>1</v>
      </c>
      <c r="P269" s="155"/>
      <c r="Q269" s="186"/>
      <c r="R269" s="186" t="s">
        <v>873</v>
      </c>
      <c r="S269" s="139"/>
      <c r="V269" s="139"/>
    </row>
    <row r="270" spans="1:22">
      <c r="A270" s="186">
        <f t="shared" si="98"/>
        <v>12</v>
      </c>
      <c r="E270" s="141" t="s">
        <v>1829</v>
      </c>
      <c r="F270" s="141" t="s">
        <v>1756</v>
      </c>
      <c r="G270" s="154" t="str">
        <f t="shared" si="104"/>
        <v>12/</v>
      </c>
      <c r="H270" s="141" t="str">
        <f t="shared" si="105"/>
        <v>12/</v>
      </c>
      <c r="I270" s="139" t="e">
        <f t="shared" si="99"/>
        <v>#NUM!</v>
      </c>
      <c r="J270" s="139" t="e">
        <f t="shared" si="100"/>
        <v>#NUM!</v>
      </c>
      <c r="K270" s="155">
        <f t="shared" si="103"/>
        <v>-1</v>
      </c>
      <c r="N270" s="139">
        <f t="shared" si="101"/>
        <v>0</v>
      </c>
      <c r="O270" s="139">
        <f t="shared" si="102"/>
        <v>1</v>
      </c>
      <c r="P270" s="155"/>
      <c r="Q270" s="186"/>
      <c r="R270" s="186" t="s">
        <v>873</v>
      </c>
      <c r="S270" s="139"/>
      <c r="V270" s="139"/>
    </row>
    <row r="271" spans="1:22">
      <c r="A271" s="186">
        <f t="shared" si="98"/>
        <v>12</v>
      </c>
      <c r="E271" s="141" t="s">
        <v>1829</v>
      </c>
      <c r="F271" s="141" t="s">
        <v>1756</v>
      </c>
      <c r="G271" s="154" t="str">
        <f t="shared" si="104"/>
        <v>12/</v>
      </c>
      <c r="H271" s="141" t="str">
        <f t="shared" si="105"/>
        <v>12/</v>
      </c>
      <c r="I271" s="139" t="e">
        <f t="shared" si="99"/>
        <v>#NUM!</v>
      </c>
      <c r="J271" s="139" t="e">
        <f t="shared" si="100"/>
        <v>#NUM!</v>
      </c>
      <c r="K271" s="155">
        <f t="shared" si="103"/>
        <v>-1</v>
      </c>
      <c r="N271" s="139">
        <f t="shared" si="101"/>
        <v>0</v>
      </c>
      <c r="O271" s="139">
        <f t="shared" si="102"/>
        <v>1</v>
      </c>
      <c r="P271" s="155"/>
      <c r="Q271" s="186"/>
      <c r="R271" s="186" t="s">
        <v>873</v>
      </c>
      <c r="S271" s="139"/>
      <c r="V271" s="139"/>
    </row>
    <row r="272" spans="1:22">
      <c r="A272" s="186">
        <f t="shared" si="98"/>
        <v>12</v>
      </c>
      <c r="E272" s="141" t="s">
        <v>1829</v>
      </c>
      <c r="F272" s="141" t="s">
        <v>1756</v>
      </c>
      <c r="G272" s="154" t="str">
        <f t="shared" si="104"/>
        <v>12/</v>
      </c>
      <c r="H272" s="141" t="str">
        <f t="shared" si="105"/>
        <v>12/</v>
      </c>
      <c r="I272" s="139" t="e">
        <f t="shared" si="99"/>
        <v>#NUM!</v>
      </c>
      <c r="J272" s="139" t="e">
        <f t="shared" si="100"/>
        <v>#NUM!</v>
      </c>
      <c r="K272" s="155">
        <f t="shared" si="103"/>
        <v>-1</v>
      </c>
      <c r="N272" s="139">
        <f t="shared" si="101"/>
        <v>0</v>
      </c>
      <c r="O272" s="139">
        <f t="shared" si="102"/>
        <v>1</v>
      </c>
      <c r="P272" s="155"/>
      <c r="Q272" s="186"/>
      <c r="R272" s="186" t="s">
        <v>873</v>
      </c>
      <c r="S272" s="139"/>
      <c r="V272" s="139"/>
    </row>
    <row r="273" spans="1:22">
      <c r="A273" s="186">
        <f t="shared" si="98"/>
        <v>12</v>
      </c>
      <c r="E273" s="141" t="s">
        <v>1829</v>
      </c>
      <c r="F273" s="141" t="s">
        <v>1756</v>
      </c>
      <c r="G273" s="154" t="str">
        <f t="shared" si="104"/>
        <v>12/</v>
      </c>
      <c r="H273" s="141" t="str">
        <f t="shared" si="105"/>
        <v>12/</v>
      </c>
      <c r="I273" s="139" t="e">
        <f t="shared" si="99"/>
        <v>#NUM!</v>
      </c>
      <c r="J273" s="139" t="e">
        <f t="shared" si="100"/>
        <v>#NUM!</v>
      </c>
      <c r="K273" s="155">
        <f t="shared" si="103"/>
        <v>-1</v>
      </c>
      <c r="N273" s="139">
        <f t="shared" si="101"/>
        <v>0</v>
      </c>
      <c r="O273" s="139">
        <f t="shared" si="102"/>
        <v>1</v>
      </c>
      <c r="P273" s="155"/>
      <c r="Q273" s="186"/>
      <c r="R273" s="186" t="s">
        <v>873</v>
      </c>
      <c r="S273" s="139"/>
      <c r="V273" s="139"/>
    </row>
    <row r="274" spans="1:22">
      <c r="A274" s="186">
        <f t="shared" si="98"/>
        <v>12</v>
      </c>
      <c r="E274" s="141" t="s">
        <v>1829</v>
      </c>
      <c r="F274" s="141" t="s">
        <v>1756</v>
      </c>
      <c r="G274" s="154" t="str">
        <f t="shared" si="104"/>
        <v>12/</v>
      </c>
      <c r="H274" s="141" t="str">
        <f t="shared" si="105"/>
        <v>12/</v>
      </c>
      <c r="I274" s="139" t="e">
        <f t="shared" si="99"/>
        <v>#NUM!</v>
      </c>
      <c r="J274" s="139" t="e">
        <f t="shared" si="100"/>
        <v>#NUM!</v>
      </c>
      <c r="K274" s="155">
        <f t="shared" si="103"/>
        <v>-1</v>
      </c>
      <c r="N274" s="139">
        <f t="shared" si="101"/>
        <v>0</v>
      </c>
      <c r="O274" s="139">
        <f t="shared" si="102"/>
        <v>1</v>
      </c>
      <c r="P274" s="155"/>
      <c r="Q274" s="186"/>
      <c r="R274" s="186" t="s">
        <v>873</v>
      </c>
      <c r="S274" s="139"/>
      <c r="V274" s="139"/>
    </row>
    <row r="275" spans="1:22">
      <c r="A275" s="186">
        <f t="shared" si="98"/>
        <v>12</v>
      </c>
      <c r="E275" s="141" t="s">
        <v>1829</v>
      </c>
      <c r="F275" s="141" t="s">
        <v>1756</v>
      </c>
      <c r="G275" s="154" t="str">
        <f t="shared" si="104"/>
        <v>12/</v>
      </c>
      <c r="H275" s="141" t="str">
        <f t="shared" si="105"/>
        <v>12/</v>
      </c>
      <c r="I275" s="139" t="e">
        <f t="shared" si="99"/>
        <v>#NUM!</v>
      </c>
      <c r="J275" s="139" t="e">
        <f t="shared" si="100"/>
        <v>#NUM!</v>
      </c>
      <c r="K275" s="155">
        <f t="shared" si="103"/>
        <v>-1</v>
      </c>
      <c r="N275" s="139">
        <f t="shared" si="101"/>
        <v>0</v>
      </c>
      <c r="O275" s="139">
        <f t="shared" si="102"/>
        <v>1</v>
      </c>
      <c r="P275" s="155"/>
      <c r="Q275" s="186"/>
      <c r="R275" s="186" t="s">
        <v>873</v>
      </c>
      <c r="S275" s="139"/>
      <c r="V275" s="139"/>
    </row>
    <row r="276" spans="1:22">
      <c r="A276" s="186">
        <f t="shared" si="98"/>
        <v>12</v>
      </c>
      <c r="E276" s="141" t="s">
        <v>1829</v>
      </c>
      <c r="F276" s="141" t="s">
        <v>1756</v>
      </c>
      <c r="G276" s="154" t="str">
        <f t="shared" si="104"/>
        <v>12/</v>
      </c>
      <c r="H276" s="141" t="str">
        <f t="shared" si="105"/>
        <v>12/</v>
      </c>
      <c r="I276" s="139" t="e">
        <f t="shared" si="99"/>
        <v>#NUM!</v>
      </c>
      <c r="J276" s="139" t="e">
        <f t="shared" si="100"/>
        <v>#NUM!</v>
      </c>
      <c r="K276" s="155">
        <f t="shared" si="103"/>
        <v>-1</v>
      </c>
      <c r="N276" s="139">
        <f t="shared" si="101"/>
        <v>0</v>
      </c>
      <c r="O276" s="139">
        <f t="shared" si="102"/>
        <v>1</v>
      </c>
      <c r="P276" s="155"/>
      <c r="Q276" s="186"/>
      <c r="R276" s="186" t="s">
        <v>873</v>
      </c>
      <c r="S276" s="139"/>
      <c r="V276" s="139"/>
    </row>
    <row r="277" spans="1:22">
      <c r="A277" s="186">
        <f t="shared" si="98"/>
        <v>12</v>
      </c>
      <c r="E277" s="141" t="s">
        <v>1829</v>
      </c>
      <c r="F277" s="141" t="s">
        <v>1756</v>
      </c>
      <c r="G277" s="154" t="str">
        <f t="shared" si="104"/>
        <v>12/</v>
      </c>
      <c r="H277" s="141" t="str">
        <f t="shared" si="105"/>
        <v>12/</v>
      </c>
      <c r="I277" s="139" t="e">
        <f t="shared" si="99"/>
        <v>#NUM!</v>
      </c>
      <c r="J277" s="139" t="e">
        <f t="shared" si="100"/>
        <v>#NUM!</v>
      </c>
      <c r="K277" s="155">
        <f t="shared" si="103"/>
        <v>-1</v>
      </c>
      <c r="N277" s="139">
        <f t="shared" si="101"/>
        <v>0</v>
      </c>
      <c r="O277" s="139">
        <f t="shared" si="102"/>
        <v>1</v>
      </c>
      <c r="P277" s="155"/>
      <c r="Q277" s="186"/>
      <c r="R277" s="186" t="s">
        <v>873</v>
      </c>
      <c r="S277" s="139"/>
      <c r="V277" s="139"/>
    </row>
    <row r="278" spans="1:22">
      <c r="A278" s="186">
        <f t="shared" si="98"/>
        <v>12</v>
      </c>
      <c r="E278" s="141" t="s">
        <v>1829</v>
      </c>
      <c r="F278" s="141" t="s">
        <v>1756</v>
      </c>
      <c r="G278" s="154" t="str">
        <f t="shared" si="104"/>
        <v>12/</v>
      </c>
      <c r="H278" s="141" t="str">
        <f t="shared" si="105"/>
        <v>12/</v>
      </c>
      <c r="I278" s="139" t="e">
        <f t="shared" si="99"/>
        <v>#NUM!</v>
      </c>
      <c r="J278" s="139" t="e">
        <f t="shared" si="100"/>
        <v>#NUM!</v>
      </c>
      <c r="K278" s="155">
        <f t="shared" si="103"/>
        <v>-1</v>
      </c>
      <c r="N278" s="139">
        <f t="shared" si="101"/>
        <v>0</v>
      </c>
      <c r="O278" s="139">
        <f t="shared" si="102"/>
        <v>1</v>
      </c>
      <c r="P278" s="155"/>
      <c r="Q278" s="186"/>
      <c r="R278" s="186" t="s">
        <v>873</v>
      </c>
      <c r="S278" s="139"/>
      <c r="V278" s="139"/>
    </row>
    <row r="279" spans="1:22">
      <c r="A279" s="186">
        <f t="shared" si="98"/>
        <v>12</v>
      </c>
      <c r="E279" s="141" t="s">
        <v>1829</v>
      </c>
      <c r="F279" s="141" t="s">
        <v>1756</v>
      </c>
      <c r="G279" s="154" t="str">
        <f t="shared" si="104"/>
        <v>12/</v>
      </c>
      <c r="H279" s="141" t="str">
        <f t="shared" si="105"/>
        <v>12/</v>
      </c>
      <c r="I279" s="139" t="e">
        <f t="shared" si="99"/>
        <v>#NUM!</v>
      </c>
      <c r="J279" s="139" t="e">
        <f t="shared" si="100"/>
        <v>#NUM!</v>
      </c>
      <c r="K279" s="155">
        <f t="shared" si="103"/>
        <v>-1</v>
      </c>
      <c r="N279" s="139">
        <f t="shared" si="101"/>
        <v>0</v>
      </c>
      <c r="O279" s="139">
        <f t="shared" si="102"/>
        <v>1</v>
      </c>
      <c r="P279" s="155"/>
      <c r="Q279" s="186"/>
      <c r="R279" s="186" t="s">
        <v>873</v>
      </c>
      <c r="S279" s="139"/>
      <c r="V279" s="139"/>
    </row>
    <row r="280" spans="1:22">
      <c r="A280" s="186">
        <f t="shared" si="98"/>
        <v>12</v>
      </c>
      <c r="E280" s="141" t="s">
        <v>1829</v>
      </c>
      <c r="F280" s="141" t="s">
        <v>1756</v>
      </c>
      <c r="G280" s="154" t="str">
        <f t="shared" si="104"/>
        <v>12/</v>
      </c>
      <c r="H280" s="141" t="str">
        <f t="shared" si="105"/>
        <v>12/</v>
      </c>
      <c r="I280" s="139" t="e">
        <f t="shared" si="99"/>
        <v>#NUM!</v>
      </c>
      <c r="J280" s="139" t="e">
        <f t="shared" si="100"/>
        <v>#NUM!</v>
      </c>
      <c r="K280" s="155">
        <f t="shared" si="103"/>
        <v>-1</v>
      </c>
      <c r="N280" s="139">
        <f t="shared" si="101"/>
        <v>0</v>
      </c>
      <c r="O280" s="139">
        <f t="shared" si="102"/>
        <v>1</v>
      </c>
      <c r="P280" s="155"/>
      <c r="Q280" s="186"/>
      <c r="R280" s="186" t="s">
        <v>873</v>
      </c>
      <c r="S280" s="139"/>
      <c r="V280" s="139"/>
    </row>
    <row r="281" spans="1:22">
      <c r="A281" s="186">
        <f t="shared" si="98"/>
        <v>12</v>
      </c>
      <c r="E281" s="141" t="s">
        <v>1829</v>
      </c>
      <c r="F281" s="141" t="s">
        <v>1756</v>
      </c>
      <c r="G281" s="154" t="str">
        <f t="shared" si="104"/>
        <v>12/</v>
      </c>
      <c r="H281" s="141" t="str">
        <f t="shared" si="105"/>
        <v>12/</v>
      </c>
      <c r="I281" s="139" t="e">
        <f t="shared" si="99"/>
        <v>#NUM!</v>
      </c>
      <c r="J281" s="139" t="e">
        <f t="shared" si="100"/>
        <v>#NUM!</v>
      </c>
      <c r="K281" s="155">
        <f t="shared" si="103"/>
        <v>-1</v>
      </c>
      <c r="N281" s="139">
        <f t="shared" si="101"/>
        <v>0</v>
      </c>
      <c r="O281" s="139">
        <f t="shared" si="102"/>
        <v>1</v>
      </c>
      <c r="P281" s="155"/>
      <c r="Q281" s="186"/>
      <c r="R281" s="186" t="s">
        <v>873</v>
      </c>
      <c r="S281" s="139"/>
      <c r="V281" s="139"/>
    </row>
    <row r="282" spans="1:22">
      <c r="A282" s="186">
        <f t="shared" si="98"/>
        <v>12</v>
      </c>
      <c r="E282" s="141" t="s">
        <v>1829</v>
      </c>
      <c r="F282" s="141" t="s">
        <v>1756</v>
      </c>
      <c r="G282" s="154" t="str">
        <f t="shared" si="104"/>
        <v>12/</v>
      </c>
      <c r="H282" s="141" t="str">
        <f t="shared" si="105"/>
        <v>12/</v>
      </c>
      <c r="I282" s="139" t="e">
        <f t="shared" si="99"/>
        <v>#NUM!</v>
      </c>
      <c r="J282" s="139" t="e">
        <f t="shared" si="100"/>
        <v>#NUM!</v>
      </c>
      <c r="K282" s="155">
        <f t="shared" si="103"/>
        <v>-1</v>
      </c>
      <c r="N282" s="139">
        <f t="shared" si="101"/>
        <v>0</v>
      </c>
      <c r="O282" s="139">
        <f t="shared" si="102"/>
        <v>1</v>
      </c>
      <c r="P282" s="155"/>
      <c r="Q282" s="186"/>
      <c r="R282" s="186" t="s">
        <v>873</v>
      </c>
      <c r="S282" s="139"/>
      <c r="V282" s="139"/>
    </row>
    <row r="283" spans="1:22">
      <c r="A283" s="186">
        <f t="shared" si="98"/>
        <v>12</v>
      </c>
      <c r="E283" s="141" t="s">
        <v>1829</v>
      </c>
      <c r="F283" s="141" t="s">
        <v>1756</v>
      </c>
      <c r="G283" s="154" t="str">
        <f t="shared" si="104"/>
        <v>12/</v>
      </c>
      <c r="H283" s="141" t="str">
        <f t="shared" si="105"/>
        <v>12/</v>
      </c>
      <c r="I283" s="139" t="e">
        <f t="shared" si="99"/>
        <v>#NUM!</v>
      </c>
      <c r="J283" s="139" t="e">
        <f t="shared" si="100"/>
        <v>#NUM!</v>
      </c>
      <c r="K283" s="155">
        <f t="shared" si="103"/>
        <v>-1</v>
      </c>
      <c r="N283" s="139">
        <f t="shared" si="101"/>
        <v>0</v>
      </c>
      <c r="O283" s="139">
        <f t="shared" si="102"/>
        <v>1</v>
      </c>
      <c r="P283" s="155"/>
      <c r="Q283" s="186"/>
      <c r="R283" s="186" t="s">
        <v>873</v>
      </c>
      <c r="S283" s="139"/>
      <c r="V283" s="139"/>
    </row>
    <row r="284" spans="1:22">
      <c r="A284" s="186">
        <f t="shared" si="98"/>
        <v>12</v>
      </c>
      <c r="E284" s="141" t="s">
        <v>1829</v>
      </c>
      <c r="F284" s="141" t="s">
        <v>1756</v>
      </c>
      <c r="G284" s="154" t="str">
        <f t="shared" si="104"/>
        <v>12/</v>
      </c>
      <c r="H284" s="141" t="str">
        <f t="shared" si="105"/>
        <v>12/</v>
      </c>
      <c r="I284" s="139" t="e">
        <f t="shared" si="99"/>
        <v>#NUM!</v>
      </c>
      <c r="J284" s="139" t="e">
        <f t="shared" si="100"/>
        <v>#NUM!</v>
      </c>
      <c r="K284" s="155">
        <f t="shared" si="103"/>
        <v>-1</v>
      </c>
      <c r="N284" s="139">
        <f t="shared" si="101"/>
        <v>0</v>
      </c>
      <c r="O284" s="139">
        <f t="shared" si="102"/>
        <v>1</v>
      </c>
      <c r="P284" s="155"/>
      <c r="Q284" s="186"/>
      <c r="R284" s="186" t="s">
        <v>873</v>
      </c>
      <c r="S284" s="139"/>
      <c r="V284" s="139"/>
    </row>
    <row r="285" spans="1:22">
      <c r="A285" s="186">
        <f t="shared" si="98"/>
        <v>12</v>
      </c>
      <c r="E285" s="141" t="s">
        <v>1829</v>
      </c>
      <c r="F285" s="141" t="s">
        <v>1756</v>
      </c>
      <c r="G285" s="154" t="str">
        <f t="shared" si="104"/>
        <v>12/</v>
      </c>
      <c r="H285" s="141" t="str">
        <f t="shared" si="105"/>
        <v>12/</v>
      </c>
      <c r="I285" s="139" t="e">
        <f t="shared" si="99"/>
        <v>#NUM!</v>
      </c>
      <c r="J285" s="139" t="e">
        <f t="shared" si="100"/>
        <v>#NUM!</v>
      </c>
      <c r="K285" s="155">
        <f t="shared" si="103"/>
        <v>-1</v>
      </c>
      <c r="N285" s="139">
        <f t="shared" si="101"/>
        <v>0</v>
      </c>
      <c r="O285" s="139">
        <f t="shared" si="102"/>
        <v>1</v>
      </c>
      <c r="P285" s="155"/>
      <c r="Q285" s="186"/>
      <c r="R285" s="186" t="s">
        <v>873</v>
      </c>
      <c r="S285" s="139"/>
      <c r="V285" s="139"/>
    </row>
    <row r="286" spans="1:22">
      <c r="A286" s="186">
        <f t="shared" si="98"/>
        <v>12</v>
      </c>
      <c r="E286" s="141" t="s">
        <v>1829</v>
      </c>
      <c r="F286" s="141" t="s">
        <v>1756</v>
      </c>
      <c r="G286" s="154" t="str">
        <f t="shared" si="104"/>
        <v>12/</v>
      </c>
      <c r="H286" s="141" t="str">
        <f t="shared" si="105"/>
        <v>12/</v>
      </c>
      <c r="I286" s="139" t="e">
        <f t="shared" si="99"/>
        <v>#NUM!</v>
      </c>
      <c r="J286" s="139" t="e">
        <f t="shared" si="100"/>
        <v>#NUM!</v>
      </c>
      <c r="K286" s="155">
        <f t="shared" si="103"/>
        <v>-1</v>
      </c>
      <c r="N286" s="139">
        <f t="shared" si="101"/>
        <v>0</v>
      </c>
      <c r="O286" s="139">
        <f t="shared" si="102"/>
        <v>1</v>
      </c>
      <c r="P286" s="155"/>
      <c r="Q286" s="186"/>
      <c r="R286" s="186" t="s">
        <v>873</v>
      </c>
      <c r="S286" s="139"/>
      <c r="V286" s="139"/>
    </row>
    <row r="287" spans="1:22">
      <c r="A287" s="186">
        <f t="shared" si="98"/>
        <v>12</v>
      </c>
      <c r="E287" s="141" t="s">
        <v>1829</v>
      </c>
      <c r="F287" s="141" t="s">
        <v>1756</v>
      </c>
      <c r="G287" s="154" t="str">
        <f t="shared" si="104"/>
        <v>12/</v>
      </c>
      <c r="H287" s="141" t="str">
        <f t="shared" si="105"/>
        <v>12/</v>
      </c>
      <c r="I287" s="139" t="e">
        <f t="shared" si="99"/>
        <v>#NUM!</v>
      </c>
      <c r="J287" s="139" t="e">
        <f t="shared" si="100"/>
        <v>#NUM!</v>
      </c>
      <c r="K287" s="155">
        <f t="shared" si="103"/>
        <v>-1</v>
      </c>
      <c r="N287" s="139">
        <f t="shared" si="101"/>
        <v>0</v>
      </c>
      <c r="O287" s="139">
        <f t="shared" si="102"/>
        <v>1</v>
      </c>
      <c r="P287" s="155"/>
      <c r="Q287" s="186"/>
      <c r="R287" s="186" t="s">
        <v>873</v>
      </c>
      <c r="S287" s="139"/>
      <c r="V287" s="139"/>
    </row>
    <row r="288" spans="1:22">
      <c r="A288" s="186">
        <f t="shared" si="98"/>
        <v>12</v>
      </c>
      <c r="E288" s="141" t="s">
        <v>1829</v>
      </c>
      <c r="F288" s="141" t="s">
        <v>1756</v>
      </c>
      <c r="G288" s="154" t="str">
        <f t="shared" si="104"/>
        <v>12/</v>
      </c>
      <c r="H288" s="141" t="str">
        <f t="shared" si="105"/>
        <v>12/</v>
      </c>
      <c r="I288" s="139" t="e">
        <f t="shared" si="99"/>
        <v>#NUM!</v>
      </c>
      <c r="J288" s="139" t="e">
        <f t="shared" si="100"/>
        <v>#NUM!</v>
      </c>
      <c r="K288" s="155">
        <f t="shared" si="103"/>
        <v>-1</v>
      </c>
      <c r="N288" s="139">
        <f t="shared" si="101"/>
        <v>0</v>
      </c>
      <c r="O288" s="139">
        <f t="shared" si="102"/>
        <v>1</v>
      </c>
      <c r="P288" s="155"/>
      <c r="Q288" s="186"/>
      <c r="R288" s="186" t="s">
        <v>873</v>
      </c>
      <c r="S288" s="139"/>
      <c r="V288" s="139"/>
    </row>
    <row r="289" spans="1:22">
      <c r="A289" s="186">
        <f t="shared" si="98"/>
        <v>12</v>
      </c>
      <c r="E289" s="141" t="s">
        <v>1829</v>
      </c>
      <c r="F289" s="141" t="s">
        <v>1756</v>
      </c>
      <c r="G289" s="154" t="str">
        <f t="shared" si="104"/>
        <v>12/</v>
      </c>
      <c r="H289" s="141" t="str">
        <f t="shared" si="105"/>
        <v>12/</v>
      </c>
      <c r="I289" s="139" t="e">
        <f t="shared" si="99"/>
        <v>#NUM!</v>
      </c>
      <c r="J289" s="139" t="e">
        <f t="shared" si="100"/>
        <v>#NUM!</v>
      </c>
      <c r="K289" s="155">
        <f t="shared" si="103"/>
        <v>-1</v>
      </c>
      <c r="N289" s="139">
        <f t="shared" si="101"/>
        <v>0</v>
      </c>
      <c r="O289" s="139">
        <f t="shared" si="102"/>
        <v>1</v>
      </c>
      <c r="P289" s="155"/>
      <c r="Q289" s="186"/>
      <c r="R289" s="186" t="s">
        <v>873</v>
      </c>
      <c r="S289" s="139"/>
      <c r="V289" s="139"/>
    </row>
    <row r="290" spans="1:22">
      <c r="A290" s="186">
        <f t="shared" si="98"/>
        <v>12</v>
      </c>
      <c r="E290" s="141" t="s">
        <v>1829</v>
      </c>
      <c r="F290" s="141" t="s">
        <v>1756</v>
      </c>
      <c r="G290" s="154" t="str">
        <f t="shared" si="104"/>
        <v>12/</v>
      </c>
      <c r="H290" s="141" t="str">
        <f t="shared" si="105"/>
        <v>12/</v>
      </c>
      <c r="I290" s="139" t="e">
        <f t="shared" si="99"/>
        <v>#NUM!</v>
      </c>
      <c r="J290" s="139" t="e">
        <f t="shared" si="100"/>
        <v>#NUM!</v>
      </c>
      <c r="K290" s="155">
        <f t="shared" si="103"/>
        <v>-1</v>
      </c>
      <c r="N290" s="139">
        <f t="shared" si="101"/>
        <v>0</v>
      </c>
      <c r="O290" s="139">
        <f t="shared" si="102"/>
        <v>1</v>
      </c>
      <c r="P290" s="155"/>
      <c r="Q290" s="186"/>
      <c r="R290" s="186" t="s">
        <v>873</v>
      </c>
      <c r="S290" s="139"/>
      <c r="V290" s="139"/>
    </row>
    <row r="291" spans="1:22">
      <c r="A291" s="186">
        <f t="shared" ref="A291:A308" si="106">A290</f>
        <v>12</v>
      </c>
      <c r="E291" s="141" t="s">
        <v>1829</v>
      </c>
      <c r="F291" s="141" t="s">
        <v>1756</v>
      </c>
      <c r="G291" s="154" t="str">
        <f t="shared" si="104"/>
        <v>12/</v>
      </c>
      <c r="H291" s="141" t="str">
        <f t="shared" si="105"/>
        <v>12/</v>
      </c>
      <c r="I291" s="139" t="e">
        <f t="shared" si="99"/>
        <v>#NUM!</v>
      </c>
      <c r="J291" s="139" t="e">
        <f t="shared" si="100"/>
        <v>#NUM!</v>
      </c>
      <c r="K291" s="155">
        <f t="shared" si="103"/>
        <v>-1</v>
      </c>
      <c r="N291" s="139">
        <f t="shared" si="101"/>
        <v>0</v>
      </c>
      <c r="O291" s="139">
        <f t="shared" si="102"/>
        <v>1</v>
      </c>
      <c r="P291" s="155"/>
      <c r="Q291" s="186"/>
      <c r="R291" s="186" t="s">
        <v>873</v>
      </c>
      <c r="S291" s="139"/>
      <c r="V291" s="139"/>
    </row>
    <row r="292" spans="1:22">
      <c r="A292" s="186">
        <f t="shared" si="106"/>
        <v>12</v>
      </c>
      <c r="E292" s="141" t="s">
        <v>1829</v>
      </c>
      <c r="F292" s="141" t="s">
        <v>1756</v>
      </c>
      <c r="G292" s="154" t="str">
        <f t="shared" si="104"/>
        <v>12/</v>
      </c>
      <c r="H292" s="141" t="str">
        <f t="shared" si="105"/>
        <v>12/</v>
      </c>
      <c r="I292" s="139" t="e">
        <f t="shared" si="99"/>
        <v>#NUM!</v>
      </c>
      <c r="J292" s="139" t="e">
        <f t="shared" si="100"/>
        <v>#NUM!</v>
      </c>
      <c r="K292" s="155">
        <f t="shared" si="103"/>
        <v>-1</v>
      </c>
      <c r="N292" s="139">
        <f t="shared" si="101"/>
        <v>0</v>
      </c>
      <c r="O292" s="139">
        <f t="shared" si="102"/>
        <v>1</v>
      </c>
      <c r="P292" s="155"/>
      <c r="Q292" s="186"/>
      <c r="R292" s="186" t="s">
        <v>873</v>
      </c>
      <c r="S292" s="139"/>
      <c r="V292" s="139"/>
    </row>
    <row r="293" spans="1:22">
      <c r="A293" s="186">
        <f t="shared" si="106"/>
        <v>12</v>
      </c>
      <c r="E293" s="141" t="s">
        <v>1829</v>
      </c>
      <c r="F293" s="141" t="s">
        <v>1756</v>
      </c>
      <c r="G293" s="154" t="str">
        <f t="shared" si="104"/>
        <v>12/</v>
      </c>
      <c r="H293" s="141" t="str">
        <f t="shared" si="105"/>
        <v>12/</v>
      </c>
      <c r="I293" s="139" t="e">
        <f t="shared" si="99"/>
        <v>#NUM!</v>
      </c>
      <c r="J293" s="139" t="e">
        <f t="shared" si="100"/>
        <v>#NUM!</v>
      </c>
      <c r="K293" s="155">
        <f t="shared" si="103"/>
        <v>-1</v>
      </c>
      <c r="N293" s="139">
        <f t="shared" si="101"/>
        <v>0</v>
      </c>
      <c r="O293" s="139">
        <f t="shared" si="102"/>
        <v>1</v>
      </c>
      <c r="P293" s="155"/>
      <c r="Q293" s="186"/>
      <c r="R293" s="186" t="s">
        <v>873</v>
      </c>
      <c r="S293" s="139"/>
      <c r="V293" s="139"/>
    </row>
    <row r="294" spans="1:22">
      <c r="A294" s="186">
        <f t="shared" si="106"/>
        <v>12</v>
      </c>
      <c r="E294" s="141" t="s">
        <v>1829</v>
      </c>
      <c r="F294" s="141" t="s">
        <v>1756</v>
      </c>
      <c r="G294" s="154" t="str">
        <f t="shared" si="104"/>
        <v>12/</v>
      </c>
      <c r="H294" s="141" t="str">
        <f t="shared" si="105"/>
        <v>12/</v>
      </c>
      <c r="I294" s="139" t="e">
        <f t="shared" si="99"/>
        <v>#NUM!</v>
      </c>
      <c r="J294" s="139" t="e">
        <f t="shared" si="100"/>
        <v>#NUM!</v>
      </c>
      <c r="K294" s="155">
        <f t="shared" si="103"/>
        <v>-1</v>
      </c>
      <c r="N294" s="139">
        <f t="shared" si="101"/>
        <v>0</v>
      </c>
      <c r="O294" s="139">
        <f t="shared" si="102"/>
        <v>1</v>
      </c>
      <c r="P294" s="155"/>
      <c r="Q294" s="186"/>
      <c r="R294" s="186" t="s">
        <v>873</v>
      </c>
      <c r="S294" s="139"/>
      <c r="V294" s="139"/>
    </row>
    <row r="295" spans="1:22">
      <c r="A295" s="186">
        <f t="shared" si="106"/>
        <v>12</v>
      </c>
      <c r="E295" s="141" t="s">
        <v>1829</v>
      </c>
      <c r="F295" s="141" t="s">
        <v>1756</v>
      </c>
      <c r="G295" s="154" t="str">
        <f t="shared" si="104"/>
        <v>12/</v>
      </c>
      <c r="H295" s="141" t="str">
        <f t="shared" si="105"/>
        <v>12/</v>
      </c>
      <c r="I295" s="139" t="e">
        <f t="shared" si="99"/>
        <v>#NUM!</v>
      </c>
      <c r="J295" s="139" t="e">
        <f t="shared" si="100"/>
        <v>#NUM!</v>
      </c>
      <c r="K295" s="155">
        <f t="shared" si="103"/>
        <v>-1</v>
      </c>
      <c r="N295" s="139">
        <f t="shared" si="101"/>
        <v>0</v>
      </c>
      <c r="O295" s="139">
        <f t="shared" si="102"/>
        <v>1</v>
      </c>
      <c r="P295" s="155"/>
      <c r="Q295" s="186"/>
      <c r="R295" s="186" t="s">
        <v>873</v>
      </c>
      <c r="S295" s="139"/>
      <c r="V295" s="139"/>
    </row>
    <row r="296" spans="1:22">
      <c r="A296" s="186">
        <f t="shared" si="106"/>
        <v>12</v>
      </c>
      <c r="E296" s="141" t="s">
        <v>1829</v>
      </c>
      <c r="F296" s="141" t="s">
        <v>1756</v>
      </c>
      <c r="G296" s="154" t="str">
        <f t="shared" si="104"/>
        <v>12/</v>
      </c>
      <c r="H296" s="141" t="str">
        <f t="shared" si="105"/>
        <v>12/</v>
      </c>
      <c r="I296" s="139" t="e">
        <f t="shared" si="99"/>
        <v>#NUM!</v>
      </c>
      <c r="J296" s="139" t="e">
        <f t="shared" si="100"/>
        <v>#NUM!</v>
      </c>
      <c r="K296" s="155">
        <f t="shared" si="103"/>
        <v>-1</v>
      </c>
      <c r="N296" s="139">
        <f t="shared" si="101"/>
        <v>0</v>
      </c>
      <c r="O296" s="139">
        <f t="shared" si="102"/>
        <v>1</v>
      </c>
      <c r="P296" s="155"/>
      <c r="Q296" s="186"/>
      <c r="R296" s="186" t="s">
        <v>873</v>
      </c>
      <c r="S296" s="139"/>
      <c r="V296" s="139"/>
    </row>
    <row r="297" spans="1:22">
      <c r="A297" s="186">
        <f t="shared" si="106"/>
        <v>12</v>
      </c>
      <c r="E297" s="141" t="s">
        <v>1829</v>
      </c>
      <c r="F297" s="141" t="s">
        <v>1756</v>
      </c>
      <c r="G297" s="154" t="str">
        <f t="shared" si="104"/>
        <v>12/</v>
      </c>
      <c r="H297" s="141" t="str">
        <f t="shared" si="105"/>
        <v>12/</v>
      </c>
      <c r="I297" s="139" t="e">
        <f t="shared" si="99"/>
        <v>#NUM!</v>
      </c>
      <c r="J297" s="139" t="e">
        <f t="shared" si="100"/>
        <v>#NUM!</v>
      </c>
      <c r="K297" s="155">
        <f t="shared" si="103"/>
        <v>-1</v>
      </c>
      <c r="N297" s="139">
        <f t="shared" si="101"/>
        <v>0</v>
      </c>
      <c r="O297" s="139">
        <f t="shared" si="102"/>
        <v>1</v>
      </c>
      <c r="P297" s="155"/>
      <c r="Q297" s="186"/>
      <c r="R297" s="186" t="s">
        <v>873</v>
      </c>
      <c r="S297" s="139"/>
      <c r="V297" s="139"/>
    </row>
    <row r="298" spans="1:22">
      <c r="A298" s="186">
        <f t="shared" si="106"/>
        <v>12</v>
      </c>
      <c r="E298" s="141" t="s">
        <v>1829</v>
      </c>
      <c r="F298" s="141" t="s">
        <v>1756</v>
      </c>
      <c r="G298" s="154" t="str">
        <f t="shared" si="104"/>
        <v>12/</v>
      </c>
      <c r="H298" s="141" t="str">
        <f t="shared" si="105"/>
        <v>12/</v>
      </c>
      <c r="I298" s="139" t="e">
        <f t="shared" si="99"/>
        <v>#NUM!</v>
      </c>
      <c r="J298" s="139" t="e">
        <f t="shared" si="100"/>
        <v>#NUM!</v>
      </c>
      <c r="K298" s="155">
        <f t="shared" si="103"/>
        <v>-1</v>
      </c>
      <c r="N298" s="139">
        <f t="shared" si="101"/>
        <v>0</v>
      </c>
      <c r="O298" s="139">
        <f t="shared" si="102"/>
        <v>1</v>
      </c>
      <c r="P298" s="155"/>
      <c r="Q298" s="186"/>
      <c r="R298" s="186" t="s">
        <v>873</v>
      </c>
      <c r="S298" s="139"/>
      <c r="V298" s="139"/>
    </row>
    <row r="299" spans="1:22">
      <c r="A299" s="186">
        <f t="shared" si="106"/>
        <v>12</v>
      </c>
      <c r="E299" s="141" t="s">
        <v>1829</v>
      </c>
      <c r="F299" s="141" t="s">
        <v>1756</v>
      </c>
      <c r="G299" s="154" t="str">
        <f t="shared" si="104"/>
        <v>12/</v>
      </c>
      <c r="H299" s="141" t="str">
        <f t="shared" si="105"/>
        <v>12/</v>
      </c>
      <c r="I299" s="139" t="e">
        <f t="shared" si="99"/>
        <v>#NUM!</v>
      </c>
      <c r="J299" s="139" t="e">
        <f t="shared" si="100"/>
        <v>#NUM!</v>
      </c>
      <c r="K299" s="155">
        <f t="shared" si="103"/>
        <v>-1</v>
      </c>
      <c r="N299" s="139">
        <f t="shared" si="101"/>
        <v>0</v>
      </c>
      <c r="O299" s="139">
        <f t="shared" si="102"/>
        <v>1</v>
      </c>
      <c r="P299" s="155"/>
      <c r="Q299" s="186"/>
      <c r="R299" s="186" t="s">
        <v>873</v>
      </c>
      <c r="S299" s="139"/>
      <c r="V299" s="139"/>
    </row>
    <row r="300" spans="1:22">
      <c r="A300" s="186">
        <f t="shared" si="106"/>
        <v>12</v>
      </c>
      <c r="E300" s="141" t="s">
        <v>1829</v>
      </c>
      <c r="F300" s="141" t="s">
        <v>1756</v>
      </c>
      <c r="G300" s="154" t="str">
        <f t="shared" si="104"/>
        <v>12/</v>
      </c>
      <c r="H300" s="141" t="str">
        <f t="shared" si="105"/>
        <v>12/</v>
      </c>
      <c r="I300" s="139" t="e">
        <f t="shared" si="99"/>
        <v>#NUM!</v>
      </c>
      <c r="J300" s="139" t="e">
        <f t="shared" si="100"/>
        <v>#NUM!</v>
      </c>
      <c r="K300" s="155">
        <f t="shared" si="103"/>
        <v>-1</v>
      </c>
      <c r="N300" s="139">
        <f t="shared" si="101"/>
        <v>0</v>
      </c>
      <c r="O300" s="139">
        <f t="shared" si="102"/>
        <v>1</v>
      </c>
      <c r="P300" s="155"/>
      <c r="Q300" s="186"/>
      <c r="R300" s="186" t="s">
        <v>873</v>
      </c>
      <c r="S300" s="139"/>
      <c r="V300" s="139"/>
    </row>
    <row r="301" spans="1:22">
      <c r="A301" s="186">
        <f t="shared" si="106"/>
        <v>12</v>
      </c>
      <c r="E301" s="141" t="s">
        <v>1829</v>
      </c>
      <c r="F301" s="141" t="s">
        <v>1756</v>
      </c>
      <c r="G301" s="154" t="str">
        <f t="shared" si="104"/>
        <v>12/</v>
      </c>
      <c r="H301" s="141" t="str">
        <f t="shared" si="105"/>
        <v>12/</v>
      </c>
      <c r="I301" s="139" t="e">
        <f t="shared" si="99"/>
        <v>#NUM!</v>
      </c>
      <c r="J301" s="139" t="e">
        <f t="shared" si="100"/>
        <v>#NUM!</v>
      </c>
      <c r="K301" s="155">
        <f t="shared" si="103"/>
        <v>-1</v>
      </c>
      <c r="N301" s="139">
        <f t="shared" si="101"/>
        <v>0</v>
      </c>
      <c r="O301" s="139">
        <f t="shared" si="102"/>
        <v>1</v>
      </c>
      <c r="P301" s="155"/>
      <c r="Q301" s="186"/>
      <c r="R301" s="186" t="s">
        <v>873</v>
      </c>
      <c r="S301" s="139"/>
      <c r="V301" s="139"/>
    </row>
    <row r="302" spans="1:22">
      <c r="A302" s="186">
        <f t="shared" si="106"/>
        <v>12</v>
      </c>
      <c r="E302" s="141" t="s">
        <v>1829</v>
      </c>
      <c r="F302" s="141" t="s">
        <v>1756</v>
      </c>
      <c r="G302" s="154" t="str">
        <f t="shared" si="104"/>
        <v>12/</v>
      </c>
      <c r="H302" s="141" t="str">
        <f t="shared" si="105"/>
        <v>12/</v>
      </c>
      <c r="I302" s="139" t="e">
        <f t="shared" si="99"/>
        <v>#NUM!</v>
      </c>
      <c r="J302" s="139" t="e">
        <f t="shared" si="100"/>
        <v>#NUM!</v>
      </c>
      <c r="K302" s="155">
        <f t="shared" si="103"/>
        <v>-1</v>
      </c>
      <c r="N302" s="139">
        <f t="shared" si="101"/>
        <v>0</v>
      </c>
      <c r="O302" s="139">
        <f t="shared" si="102"/>
        <v>1</v>
      </c>
      <c r="P302" s="155"/>
      <c r="Q302" s="186"/>
      <c r="R302" s="186" t="s">
        <v>873</v>
      </c>
      <c r="S302" s="139"/>
      <c r="V302" s="139"/>
    </row>
    <row r="303" spans="1:22">
      <c r="A303" s="186">
        <f t="shared" si="106"/>
        <v>12</v>
      </c>
      <c r="E303" s="141" t="s">
        <v>1829</v>
      </c>
      <c r="F303" s="141" t="s">
        <v>1756</v>
      </c>
      <c r="G303" s="154" t="str">
        <f t="shared" si="104"/>
        <v>12/</v>
      </c>
      <c r="H303" s="141" t="str">
        <f t="shared" si="105"/>
        <v>12/</v>
      </c>
      <c r="I303" s="139" t="e">
        <f t="shared" si="99"/>
        <v>#NUM!</v>
      </c>
      <c r="J303" s="139" t="e">
        <f t="shared" si="100"/>
        <v>#NUM!</v>
      </c>
      <c r="K303" s="155">
        <f t="shared" si="103"/>
        <v>-1</v>
      </c>
      <c r="N303" s="139">
        <f t="shared" si="101"/>
        <v>0</v>
      </c>
      <c r="O303" s="139">
        <f t="shared" si="102"/>
        <v>1</v>
      </c>
      <c r="P303" s="155"/>
      <c r="Q303" s="186"/>
      <c r="R303" s="186" t="s">
        <v>873</v>
      </c>
      <c r="S303" s="139"/>
      <c r="V303" s="139"/>
    </row>
    <row r="304" spans="1:22">
      <c r="A304" s="186">
        <f t="shared" si="106"/>
        <v>12</v>
      </c>
      <c r="E304" s="141" t="s">
        <v>1829</v>
      </c>
      <c r="F304" s="141" t="s">
        <v>1756</v>
      </c>
      <c r="G304" s="154" t="str">
        <f t="shared" si="104"/>
        <v>12/</v>
      </c>
      <c r="H304" s="141" t="str">
        <f t="shared" si="105"/>
        <v>12/</v>
      </c>
      <c r="I304" s="139" t="e">
        <f t="shared" si="99"/>
        <v>#NUM!</v>
      </c>
      <c r="J304" s="139" t="e">
        <f t="shared" si="100"/>
        <v>#NUM!</v>
      </c>
      <c r="K304" s="155">
        <f t="shared" si="103"/>
        <v>-1</v>
      </c>
      <c r="N304" s="139">
        <f t="shared" si="101"/>
        <v>0</v>
      </c>
      <c r="O304" s="139">
        <f t="shared" si="102"/>
        <v>1</v>
      </c>
      <c r="P304" s="155"/>
      <c r="Q304" s="186"/>
      <c r="R304" s="186" t="s">
        <v>873</v>
      </c>
      <c r="S304" s="139"/>
      <c r="V304" s="139"/>
    </row>
    <row r="305" spans="1:22">
      <c r="A305" s="186">
        <f t="shared" si="106"/>
        <v>12</v>
      </c>
      <c r="E305" s="141" t="s">
        <v>1829</v>
      </c>
      <c r="F305" s="141" t="s">
        <v>1756</v>
      </c>
      <c r="G305" s="154" t="str">
        <f t="shared" si="104"/>
        <v>12/</v>
      </c>
      <c r="H305" s="141" t="str">
        <f t="shared" si="105"/>
        <v>12/</v>
      </c>
      <c r="I305" s="139" t="e">
        <f t="shared" si="99"/>
        <v>#NUM!</v>
      </c>
      <c r="J305" s="139" t="e">
        <f t="shared" si="100"/>
        <v>#NUM!</v>
      </c>
      <c r="K305" s="155">
        <f t="shared" si="103"/>
        <v>-1</v>
      </c>
      <c r="N305" s="139">
        <f t="shared" si="101"/>
        <v>0</v>
      </c>
      <c r="O305" s="139">
        <f t="shared" si="102"/>
        <v>1</v>
      </c>
      <c r="P305" s="155"/>
      <c r="Q305" s="186"/>
      <c r="R305" s="186" t="s">
        <v>873</v>
      </c>
      <c r="S305" s="139"/>
      <c r="V305" s="139"/>
    </row>
    <row r="306" spans="1:22">
      <c r="A306" s="186">
        <f t="shared" si="106"/>
        <v>12</v>
      </c>
      <c r="E306" s="141" t="s">
        <v>1829</v>
      </c>
      <c r="F306" s="141" t="s">
        <v>1756</v>
      </c>
      <c r="G306" s="154" t="str">
        <f t="shared" si="104"/>
        <v>12/</v>
      </c>
      <c r="H306" s="141" t="str">
        <f t="shared" si="105"/>
        <v>12/</v>
      </c>
      <c r="I306" s="139" t="e">
        <f t="shared" si="99"/>
        <v>#NUM!</v>
      </c>
      <c r="J306" s="139" t="e">
        <f t="shared" si="100"/>
        <v>#NUM!</v>
      </c>
      <c r="K306" s="155">
        <f t="shared" si="103"/>
        <v>-1</v>
      </c>
      <c r="N306" s="139">
        <f t="shared" si="101"/>
        <v>0</v>
      </c>
      <c r="O306" s="139">
        <f t="shared" si="102"/>
        <v>1</v>
      </c>
      <c r="P306" s="155"/>
      <c r="Q306" s="186"/>
      <c r="R306" s="186" t="s">
        <v>873</v>
      </c>
      <c r="S306" s="139"/>
      <c r="V306" s="139"/>
    </row>
    <row r="307" spans="1:22">
      <c r="A307" s="186">
        <f t="shared" si="106"/>
        <v>12</v>
      </c>
      <c r="E307" s="141" t="s">
        <v>1829</v>
      </c>
      <c r="F307" s="141" t="s">
        <v>1756</v>
      </c>
      <c r="G307" s="154" t="str">
        <f t="shared" si="104"/>
        <v>12/</v>
      </c>
      <c r="H307" s="141" t="str">
        <f t="shared" si="105"/>
        <v>12/</v>
      </c>
      <c r="I307" s="139" t="e">
        <f t="shared" ref="I307:I370" si="107">DAY(K307)</f>
        <v>#NUM!</v>
      </c>
      <c r="J307" s="139" t="e">
        <f t="shared" ref="J307:J370" si="108">MONTH(K307)</f>
        <v>#NUM!</v>
      </c>
      <c r="K307" s="155">
        <f t="shared" si="103"/>
        <v>-1</v>
      </c>
      <c r="N307" s="139">
        <f t="shared" ref="N307:N370" si="109">DAY(P307)</f>
        <v>0</v>
      </c>
      <c r="O307" s="139">
        <f t="shared" ref="O307:O370" si="110">MONTH(P307)</f>
        <v>1</v>
      </c>
      <c r="P307" s="155"/>
      <c r="Q307" s="186"/>
      <c r="R307" s="186" t="s">
        <v>873</v>
      </c>
      <c r="S307" s="139"/>
      <c r="V307" s="139"/>
    </row>
    <row r="308" spans="1:22">
      <c r="A308" s="186">
        <f t="shared" si="106"/>
        <v>12</v>
      </c>
      <c r="E308" s="141" t="s">
        <v>1829</v>
      </c>
      <c r="F308" s="141" t="s">
        <v>1756</v>
      </c>
      <c r="G308" s="154" t="str">
        <f t="shared" si="104"/>
        <v>12/</v>
      </c>
      <c r="H308" s="141" t="str">
        <f t="shared" si="105"/>
        <v>12/</v>
      </c>
      <c r="I308" s="139" t="e">
        <f t="shared" si="107"/>
        <v>#NUM!</v>
      </c>
      <c r="J308" s="139" t="e">
        <f t="shared" si="108"/>
        <v>#NUM!</v>
      </c>
      <c r="K308" s="155">
        <f t="shared" si="103"/>
        <v>-1</v>
      </c>
      <c r="N308" s="139">
        <f t="shared" si="109"/>
        <v>0</v>
      </c>
      <c r="O308" s="139">
        <f t="shared" si="110"/>
        <v>1</v>
      </c>
      <c r="P308" s="155"/>
      <c r="Q308" s="186"/>
      <c r="R308" s="186" t="s">
        <v>873</v>
      </c>
      <c r="S308" s="139"/>
      <c r="V308" s="139"/>
    </row>
    <row r="309" spans="1:22">
      <c r="A309" s="186">
        <f t="shared" ref="A309:A361" si="111">A308</f>
        <v>12</v>
      </c>
      <c r="E309" s="141" t="s">
        <v>1829</v>
      </c>
      <c r="F309" s="141" t="s">
        <v>1756</v>
      </c>
      <c r="G309" s="154" t="str">
        <f t="shared" si="104"/>
        <v>12/</v>
      </c>
      <c r="H309" s="141" t="str">
        <f t="shared" si="105"/>
        <v>12/</v>
      </c>
      <c r="I309" s="139" t="e">
        <f t="shared" si="107"/>
        <v>#NUM!</v>
      </c>
      <c r="J309" s="139" t="e">
        <f t="shared" si="108"/>
        <v>#NUM!</v>
      </c>
      <c r="K309" s="155">
        <f t="shared" si="103"/>
        <v>-1</v>
      </c>
      <c r="N309" s="139">
        <f t="shared" si="109"/>
        <v>0</v>
      </c>
      <c r="O309" s="139">
        <f t="shared" si="110"/>
        <v>1</v>
      </c>
      <c r="P309" s="155"/>
      <c r="Q309" s="186"/>
      <c r="R309" s="186" t="s">
        <v>873</v>
      </c>
      <c r="S309" s="139"/>
      <c r="V309" s="139"/>
    </row>
    <row r="310" spans="1:22">
      <c r="A310" s="186">
        <f t="shared" si="111"/>
        <v>12</v>
      </c>
      <c r="E310" s="141" t="s">
        <v>1829</v>
      </c>
      <c r="F310" s="141" t="s">
        <v>1756</v>
      </c>
      <c r="G310" s="154" t="str">
        <f t="shared" si="104"/>
        <v>12/</v>
      </c>
      <c r="H310" s="141" t="str">
        <f t="shared" si="105"/>
        <v>12/</v>
      </c>
      <c r="I310" s="139" t="e">
        <f t="shared" si="107"/>
        <v>#NUM!</v>
      </c>
      <c r="J310" s="139" t="e">
        <f t="shared" si="108"/>
        <v>#NUM!</v>
      </c>
      <c r="K310" s="155">
        <f t="shared" si="103"/>
        <v>-1</v>
      </c>
      <c r="N310" s="139">
        <f t="shared" si="109"/>
        <v>0</v>
      </c>
      <c r="O310" s="139">
        <f t="shared" si="110"/>
        <v>1</v>
      </c>
      <c r="P310" s="155"/>
      <c r="Q310" s="186"/>
      <c r="R310" s="186" t="s">
        <v>873</v>
      </c>
      <c r="S310" s="139"/>
      <c r="V310" s="139"/>
    </row>
    <row r="311" spans="1:22">
      <c r="A311" s="186">
        <f t="shared" si="111"/>
        <v>12</v>
      </c>
      <c r="E311" s="141" t="s">
        <v>1829</v>
      </c>
      <c r="F311" s="141" t="s">
        <v>1756</v>
      </c>
      <c r="G311" s="154" t="str">
        <f t="shared" si="104"/>
        <v>12/</v>
      </c>
      <c r="H311" s="141" t="str">
        <f t="shared" si="105"/>
        <v>12/</v>
      </c>
      <c r="I311" s="139" t="e">
        <f t="shared" si="107"/>
        <v>#NUM!</v>
      </c>
      <c r="J311" s="139" t="e">
        <f t="shared" si="108"/>
        <v>#NUM!</v>
      </c>
      <c r="K311" s="155">
        <f t="shared" si="103"/>
        <v>-1</v>
      </c>
      <c r="N311" s="139">
        <f t="shared" si="109"/>
        <v>0</v>
      </c>
      <c r="O311" s="139">
        <f t="shared" si="110"/>
        <v>1</v>
      </c>
      <c r="P311" s="155"/>
      <c r="Q311" s="186"/>
      <c r="R311" s="186" t="s">
        <v>873</v>
      </c>
      <c r="S311" s="139"/>
      <c r="V311" s="139"/>
    </row>
    <row r="312" spans="1:22">
      <c r="A312" s="186">
        <f t="shared" si="111"/>
        <v>12</v>
      </c>
      <c r="E312" s="141" t="s">
        <v>1829</v>
      </c>
      <c r="F312" s="141" t="s">
        <v>1756</v>
      </c>
      <c r="G312" s="154" t="str">
        <f t="shared" si="104"/>
        <v>12/</v>
      </c>
      <c r="H312" s="141" t="str">
        <f t="shared" si="105"/>
        <v>12/</v>
      </c>
      <c r="I312" s="139" t="e">
        <f t="shared" si="107"/>
        <v>#NUM!</v>
      </c>
      <c r="J312" s="139" t="e">
        <f t="shared" si="108"/>
        <v>#NUM!</v>
      </c>
      <c r="K312" s="155">
        <f t="shared" si="103"/>
        <v>-1</v>
      </c>
      <c r="N312" s="139">
        <f t="shared" si="109"/>
        <v>0</v>
      </c>
      <c r="O312" s="139">
        <f t="shared" si="110"/>
        <v>1</v>
      </c>
      <c r="P312" s="155"/>
      <c r="Q312" s="186"/>
      <c r="R312" s="186" t="s">
        <v>873</v>
      </c>
      <c r="S312" s="139"/>
      <c r="V312" s="139"/>
    </row>
    <row r="313" spans="1:22">
      <c r="A313" s="186">
        <f t="shared" si="111"/>
        <v>12</v>
      </c>
      <c r="E313" s="141" t="s">
        <v>1829</v>
      </c>
      <c r="F313" s="141" t="s">
        <v>1756</v>
      </c>
      <c r="G313" s="154" t="str">
        <f t="shared" si="104"/>
        <v>12/</v>
      </c>
      <c r="H313" s="141" t="str">
        <f t="shared" si="105"/>
        <v>12/</v>
      </c>
      <c r="I313" s="139" t="e">
        <f t="shared" si="107"/>
        <v>#NUM!</v>
      </c>
      <c r="J313" s="139" t="e">
        <f t="shared" si="108"/>
        <v>#NUM!</v>
      </c>
      <c r="K313" s="155">
        <f t="shared" si="103"/>
        <v>-1</v>
      </c>
      <c r="N313" s="139">
        <f t="shared" si="109"/>
        <v>0</v>
      </c>
      <c r="O313" s="139">
        <f t="shared" si="110"/>
        <v>1</v>
      </c>
      <c r="P313" s="155"/>
      <c r="Q313" s="186"/>
      <c r="R313" s="186" t="s">
        <v>873</v>
      </c>
      <c r="S313" s="139"/>
      <c r="V313" s="139"/>
    </row>
    <row r="314" spans="1:22">
      <c r="A314" s="186">
        <f t="shared" si="111"/>
        <v>12</v>
      </c>
      <c r="E314" s="141" t="s">
        <v>1829</v>
      </c>
      <c r="F314" s="141" t="s">
        <v>1756</v>
      </c>
      <c r="G314" s="154" t="str">
        <f t="shared" si="104"/>
        <v>12/</v>
      </c>
      <c r="H314" s="141" t="str">
        <f t="shared" si="105"/>
        <v>12/</v>
      </c>
      <c r="I314" s="139" t="e">
        <f t="shared" si="107"/>
        <v>#NUM!</v>
      </c>
      <c r="J314" s="139" t="e">
        <f t="shared" si="108"/>
        <v>#NUM!</v>
      </c>
      <c r="K314" s="155">
        <f t="shared" ref="K314:K377" si="112">P314-1</f>
        <v>-1</v>
      </c>
      <c r="N314" s="139">
        <f t="shared" si="109"/>
        <v>0</v>
      </c>
      <c r="O314" s="139">
        <f t="shared" si="110"/>
        <v>1</v>
      </c>
      <c r="P314" s="155"/>
      <c r="Q314" s="186"/>
      <c r="R314" s="186" t="s">
        <v>873</v>
      </c>
      <c r="S314" s="139"/>
      <c r="V314" s="139"/>
    </row>
    <row r="315" spans="1:22">
      <c r="A315" s="186">
        <f t="shared" si="111"/>
        <v>12</v>
      </c>
      <c r="E315" s="141" t="s">
        <v>1829</v>
      </c>
      <c r="F315" s="141" t="s">
        <v>1756</v>
      </c>
      <c r="G315" s="154" t="str">
        <f t="shared" si="104"/>
        <v>12/</v>
      </c>
      <c r="H315" s="141" t="str">
        <f t="shared" si="105"/>
        <v>12/</v>
      </c>
      <c r="I315" s="139" t="e">
        <f t="shared" si="107"/>
        <v>#NUM!</v>
      </c>
      <c r="J315" s="139" t="e">
        <f t="shared" si="108"/>
        <v>#NUM!</v>
      </c>
      <c r="K315" s="155">
        <f t="shared" si="112"/>
        <v>-1</v>
      </c>
      <c r="N315" s="139">
        <f t="shared" si="109"/>
        <v>0</v>
      </c>
      <c r="O315" s="139">
        <f t="shared" si="110"/>
        <v>1</v>
      </c>
      <c r="P315" s="155"/>
      <c r="Q315" s="186"/>
      <c r="R315" s="186" t="s">
        <v>873</v>
      </c>
      <c r="S315" s="139"/>
      <c r="V315" s="139"/>
    </row>
    <row r="316" spans="1:22">
      <c r="A316" s="186">
        <f t="shared" si="111"/>
        <v>12</v>
      </c>
      <c r="E316" s="141" t="s">
        <v>1829</v>
      </c>
      <c r="F316" s="141" t="s">
        <v>1756</v>
      </c>
      <c r="G316" s="154" t="str">
        <f t="shared" si="104"/>
        <v>12/</v>
      </c>
      <c r="H316" s="141" t="str">
        <f t="shared" si="105"/>
        <v>12/</v>
      </c>
      <c r="I316" s="139" t="e">
        <f t="shared" si="107"/>
        <v>#NUM!</v>
      </c>
      <c r="J316" s="139" t="e">
        <f t="shared" si="108"/>
        <v>#NUM!</v>
      </c>
      <c r="K316" s="155">
        <f t="shared" si="112"/>
        <v>-1</v>
      </c>
      <c r="N316" s="139">
        <f t="shared" si="109"/>
        <v>0</v>
      </c>
      <c r="O316" s="139">
        <f t="shared" si="110"/>
        <v>1</v>
      </c>
      <c r="P316" s="155"/>
      <c r="Q316" s="186"/>
      <c r="R316" s="186" t="s">
        <v>873</v>
      </c>
      <c r="S316" s="139"/>
      <c r="V316" s="139"/>
    </row>
    <row r="317" spans="1:22">
      <c r="A317" s="186">
        <f t="shared" si="111"/>
        <v>12</v>
      </c>
      <c r="E317" s="141" t="s">
        <v>1829</v>
      </c>
      <c r="F317" s="141" t="s">
        <v>1756</v>
      </c>
      <c r="G317" s="154" t="str">
        <f t="shared" si="104"/>
        <v>12/</v>
      </c>
      <c r="H317" s="141" t="str">
        <f t="shared" si="105"/>
        <v>12/</v>
      </c>
      <c r="I317" s="139" t="e">
        <f t="shared" si="107"/>
        <v>#NUM!</v>
      </c>
      <c r="J317" s="139" t="e">
        <f t="shared" si="108"/>
        <v>#NUM!</v>
      </c>
      <c r="K317" s="155">
        <f t="shared" si="112"/>
        <v>-1</v>
      </c>
      <c r="N317" s="139">
        <f t="shared" si="109"/>
        <v>0</v>
      </c>
      <c r="O317" s="139">
        <f t="shared" si="110"/>
        <v>1</v>
      </c>
      <c r="P317" s="155"/>
      <c r="Q317" s="186"/>
      <c r="R317" s="186" t="s">
        <v>873</v>
      </c>
      <c r="S317" s="139"/>
      <c r="V317" s="139"/>
    </row>
    <row r="318" spans="1:22">
      <c r="A318" s="186">
        <f t="shared" si="111"/>
        <v>12</v>
      </c>
      <c r="E318" s="141" t="s">
        <v>1829</v>
      </c>
      <c r="F318" s="141" t="s">
        <v>1756</v>
      </c>
      <c r="G318" s="154" t="str">
        <f t="shared" si="104"/>
        <v>12/</v>
      </c>
      <c r="H318" s="141" t="str">
        <f t="shared" si="105"/>
        <v>12/</v>
      </c>
      <c r="I318" s="139" t="e">
        <f t="shared" si="107"/>
        <v>#NUM!</v>
      </c>
      <c r="J318" s="139" t="e">
        <f t="shared" si="108"/>
        <v>#NUM!</v>
      </c>
      <c r="K318" s="155">
        <f t="shared" si="112"/>
        <v>-1</v>
      </c>
      <c r="N318" s="139">
        <f t="shared" si="109"/>
        <v>0</v>
      </c>
      <c r="O318" s="139">
        <f t="shared" si="110"/>
        <v>1</v>
      </c>
      <c r="P318" s="155"/>
      <c r="Q318" s="186"/>
      <c r="R318" s="186" t="s">
        <v>873</v>
      </c>
      <c r="S318" s="139"/>
      <c r="V318" s="139"/>
    </row>
    <row r="319" spans="1:22">
      <c r="A319" s="186">
        <f t="shared" si="111"/>
        <v>12</v>
      </c>
      <c r="E319" s="141" t="s">
        <v>1829</v>
      </c>
      <c r="F319" s="141" t="s">
        <v>1756</v>
      </c>
      <c r="G319" s="154" t="str">
        <f t="shared" si="104"/>
        <v>12/</v>
      </c>
      <c r="H319" s="141" t="str">
        <f t="shared" si="105"/>
        <v>12/</v>
      </c>
      <c r="I319" s="139" t="e">
        <f t="shared" si="107"/>
        <v>#NUM!</v>
      </c>
      <c r="J319" s="139" t="e">
        <f t="shared" si="108"/>
        <v>#NUM!</v>
      </c>
      <c r="K319" s="155">
        <f t="shared" si="112"/>
        <v>-1</v>
      </c>
      <c r="N319" s="139">
        <f t="shared" si="109"/>
        <v>0</v>
      </c>
      <c r="O319" s="139">
        <f t="shared" si="110"/>
        <v>1</v>
      </c>
      <c r="P319" s="155"/>
      <c r="Q319" s="186"/>
      <c r="R319" s="186" t="s">
        <v>873</v>
      </c>
      <c r="S319" s="139"/>
      <c r="V319" s="139"/>
    </row>
    <row r="320" spans="1:22">
      <c r="A320" s="186">
        <f t="shared" si="111"/>
        <v>12</v>
      </c>
      <c r="E320" s="141" t="s">
        <v>1829</v>
      </c>
      <c r="F320" s="141" t="s">
        <v>1756</v>
      </c>
      <c r="G320" s="154" t="str">
        <f t="shared" si="104"/>
        <v>12/</v>
      </c>
      <c r="H320" s="141" t="str">
        <f t="shared" si="105"/>
        <v>12/</v>
      </c>
      <c r="I320" s="139" t="e">
        <f t="shared" si="107"/>
        <v>#NUM!</v>
      </c>
      <c r="J320" s="139" t="e">
        <f t="shared" si="108"/>
        <v>#NUM!</v>
      </c>
      <c r="K320" s="155">
        <f t="shared" si="112"/>
        <v>-1</v>
      </c>
      <c r="N320" s="139">
        <f t="shared" si="109"/>
        <v>0</v>
      </c>
      <c r="O320" s="139">
        <f t="shared" si="110"/>
        <v>1</v>
      </c>
      <c r="P320" s="155"/>
      <c r="Q320" s="186"/>
      <c r="R320" s="186" t="s">
        <v>873</v>
      </c>
      <c r="S320" s="139"/>
      <c r="V320" s="139"/>
    </row>
    <row r="321" spans="1:22">
      <c r="A321" s="186">
        <f t="shared" si="111"/>
        <v>12</v>
      </c>
      <c r="E321" s="141" t="s">
        <v>1829</v>
      </c>
      <c r="F321" s="141" t="s">
        <v>1756</v>
      </c>
      <c r="G321" s="154" t="str">
        <f t="shared" ref="G321:G384" si="113">A321&amp;"/"&amp;B321</f>
        <v>12/</v>
      </c>
      <c r="H321" s="141" t="str">
        <f t="shared" ref="H321:H384" si="114">A321&amp;"/"&amp;B321</f>
        <v>12/</v>
      </c>
      <c r="I321" s="139" t="e">
        <f t="shared" si="107"/>
        <v>#NUM!</v>
      </c>
      <c r="J321" s="139" t="e">
        <f t="shared" si="108"/>
        <v>#NUM!</v>
      </c>
      <c r="K321" s="155">
        <f t="shared" si="112"/>
        <v>-1</v>
      </c>
      <c r="N321" s="139">
        <f t="shared" si="109"/>
        <v>0</v>
      </c>
      <c r="O321" s="139">
        <f t="shared" si="110"/>
        <v>1</v>
      </c>
      <c r="P321" s="155"/>
      <c r="Q321" s="186"/>
      <c r="R321" s="186" t="s">
        <v>873</v>
      </c>
      <c r="S321" s="139"/>
      <c r="V321" s="139"/>
    </row>
    <row r="322" spans="1:22">
      <c r="A322" s="186">
        <f t="shared" si="111"/>
        <v>12</v>
      </c>
      <c r="E322" s="141" t="s">
        <v>1829</v>
      </c>
      <c r="F322" s="141" t="s">
        <v>1756</v>
      </c>
      <c r="G322" s="154" t="str">
        <f t="shared" si="113"/>
        <v>12/</v>
      </c>
      <c r="H322" s="141" t="str">
        <f t="shared" si="114"/>
        <v>12/</v>
      </c>
      <c r="I322" s="139" t="e">
        <f t="shared" si="107"/>
        <v>#NUM!</v>
      </c>
      <c r="J322" s="139" t="e">
        <f t="shared" si="108"/>
        <v>#NUM!</v>
      </c>
      <c r="K322" s="155">
        <f t="shared" si="112"/>
        <v>-1</v>
      </c>
      <c r="N322" s="139">
        <f t="shared" si="109"/>
        <v>0</v>
      </c>
      <c r="O322" s="139">
        <f t="shared" si="110"/>
        <v>1</v>
      </c>
      <c r="P322" s="155"/>
      <c r="Q322" s="186"/>
      <c r="R322" s="186" t="s">
        <v>873</v>
      </c>
      <c r="S322" s="139"/>
      <c r="V322" s="139"/>
    </row>
    <row r="323" spans="1:22">
      <c r="A323" s="186">
        <f t="shared" si="111"/>
        <v>12</v>
      </c>
      <c r="E323" s="141" t="s">
        <v>1829</v>
      </c>
      <c r="F323" s="141" t="s">
        <v>1756</v>
      </c>
      <c r="G323" s="154" t="str">
        <f t="shared" si="113"/>
        <v>12/</v>
      </c>
      <c r="H323" s="141" t="str">
        <f t="shared" si="114"/>
        <v>12/</v>
      </c>
      <c r="I323" s="139" t="e">
        <f t="shared" si="107"/>
        <v>#NUM!</v>
      </c>
      <c r="J323" s="139" t="e">
        <f t="shared" si="108"/>
        <v>#NUM!</v>
      </c>
      <c r="K323" s="155">
        <f t="shared" si="112"/>
        <v>-1</v>
      </c>
      <c r="N323" s="139">
        <f t="shared" si="109"/>
        <v>0</v>
      </c>
      <c r="O323" s="139">
        <f t="shared" si="110"/>
        <v>1</v>
      </c>
      <c r="P323" s="155"/>
      <c r="Q323" s="186"/>
      <c r="R323" s="186" t="s">
        <v>873</v>
      </c>
      <c r="S323" s="139"/>
      <c r="V323" s="139"/>
    </row>
    <row r="324" spans="1:22">
      <c r="A324" s="186">
        <f t="shared" si="111"/>
        <v>12</v>
      </c>
      <c r="E324" s="141" t="s">
        <v>1829</v>
      </c>
      <c r="F324" s="141" t="s">
        <v>1756</v>
      </c>
      <c r="G324" s="154" t="str">
        <f t="shared" si="113"/>
        <v>12/</v>
      </c>
      <c r="H324" s="141" t="str">
        <f t="shared" si="114"/>
        <v>12/</v>
      </c>
      <c r="I324" s="139" t="e">
        <f t="shared" si="107"/>
        <v>#NUM!</v>
      </c>
      <c r="J324" s="139" t="e">
        <f t="shared" si="108"/>
        <v>#NUM!</v>
      </c>
      <c r="K324" s="155">
        <f t="shared" si="112"/>
        <v>-1</v>
      </c>
      <c r="N324" s="139">
        <f t="shared" si="109"/>
        <v>0</v>
      </c>
      <c r="O324" s="139">
        <f t="shared" si="110"/>
        <v>1</v>
      </c>
      <c r="P324" s="155"/>
      <c r="Q324" s="186"/>
      <c r="R324" s="186" t="s">
        <v>873</v>
      </c>
      <c r="S324" s="139"/>
      <c r="V324" s="139"/>
    </row>
    <row r="325" spans="1:22">
      <c r="A325" s="186">
        <f t="shared" si="111"/>
        <v>12</v>
      </c>
      <c r="E325" s="141" t="s">
        <v>1829</v>
      </c>
      <c r="F325" s="141" t="s">
        <v>1756</v>
      </c>
      <c r="G325" s="154" t="str">
        <f t="shared" si="113"/>
        <v>12/</v>
      </c>
      <c r="H325" s="141" t="str">
        <f t="shared" si="114"/>
        <v>12/</v>
      </c>
      <c r="I325" s="139" t="e">
        <f t="shared" si="107"/>
        <v>#NUM!</v>
      </c>
      <c r="J325" s="139" t="e">
        <f t="shared" si="108"/>
        <v>#NUM!</v>
      </c>
      <c r="K325" s="155">
        <f t="shared" si="112"/>
        <v>-1</v>
      </c>
      <c r="N325" s="139">
        <f t="shared" si="109"/>
        <v>0</v>
      </c>
      <c r="O325" s="139">
        <f t="shared" si="110"/>
        <v>1</v>
      </c>
      <c r="P325" s="155"/>
      <c r="Q325" s="186"/>
      <c r="R325" s="186" t="s">
        <v>873</v>
      </c>
      <c r="S325" s="139"/>
      <c r="V325" s="139"/>
    </row>
    <row r="326" spans="1:22">
      <c r="A326" s="186">
        <f t="shared" si="111"/>
        <v>12</v>
      </c>
      <c r="E326" s="141" t="s">
        <v>1829</v>
      </c>
      <c r="F326" s="141" t="s">
        <v>1756</v>
      </c>
      <c r="G326" s="154" t="str">
        <f t="shared" si="113"/>
        <v>12/</v>
      </c>
      <c r="H326" s="141" t="str">
        <f t="shared" si="114"/>
        <v>12/</v>
      </c>
      <c r="I326" s="139" t="e">
        <f t="shared" si="107"/>
        <v>#NUM!</v>
      </c>
      <c r="J326" s="139" t="e">
        <f t="shared" si="108"/>
        <v>#NUM!</v>
      </c>
      <c r="K326" s="155">
        <f t="shared" si="112"/>
        <v>-1</v>
      </c>
      <c r="N326" s="139">
        <f t="shared" si="109"/>
        <v>0</v>
      </c>
      <c r="O326" s="139">
        <f t="shared" si="110"/>
        <v>1</v>
      </c>
      <c r="P326" s="155"/>
      <c r="Q326" s="186"/>
      <c r="R326" s="186" t="s">
        <v>873</v>
      </c>
      <c r="S326" s="139"/>
      <c r="V326" s="139"/>
    </row>
    <row r="327" spans="1:22">
      <c r="A327" s="186">
        <f t="shared" si="111"/>
        <v>12</v>
      </c>
      <c r="E327" s="141" t="s">
        <v>1829</v>
      </c>
      <c r="F327" s="141" t="s">
        <v>1756</v>
      </c>
      <c r="G327" s="154" t="str">
        <f t="shared" si="113"/>
        <v>12/</v>
      </c>
      <c r="H327" s="141" t="str">
        <f t="shared" si="114"/>
        <v>12/</v>
      </c>
      <c r="I327" s="139" t="e">
        <f t="shared" si="107"/>
        <v>#NUM!</v>
      </c>
      <c r="J327" s="139" t="e">
        <f t="shared" si="108"/>
        <v>#NUM!</v>
      </c>
      <c r="K327" s="155">
        <f t="shared" si="112"/>
        <v>-1</v>
      </c>
      <c r="N327" s="139">
        <f t="shared" si="109"/>
        <v>0</v>
      </c>
      <c r="O327" s="139">
        <f t="shared" si="110"/>
        <v>1</v>
      </c>
      <c r="P327" s="155"/>
      <c r="Q327" s="186"/>
      <c r="R327" s="186" t="s">
        <v>873</v>
      </c>
      <c r="S327" s="139"/>
      <c r="V327" s="139"/>
    </row>
    <row r="328" spans="1:22">
      <c r="A328" s="186">
        <f t="shared" si="111"/>
        <v>12</v>
      </c>
      <c r="E328" s="141" t="s">
        <v>1829</v>
      </c>
      <c r="F328" s="141" t="s">
        <v>1756</v>
      </c>
      <c r="G328" s="154" t="str">
        <f t="shared" si="113"/>
        <v>12/</v>
      </c>
      <c r="H328" s="141" t="str">
        <f t="shared" si="114"/>
        <v>12/</v>
      </c>
      <c r="I328" s="139" t="e">
        <f t="shared" si="107"/>
        <v>#NUM!</v>
      </c>
      <c r="J328" s="139" t="e">
        <f t="shared" si="108"/>
        <v>#NUM!</v>
      </c>
      <c r="K328" s="155">
        <f t="shared" si="112"/>
        <v>-1</v>
      </c>
      <c r="N328" s="139">
        <f t="shared" si="109"/>
        <v>0</v>
      </c>
      <c r="O328" s="139">
        <f t="shared" si="110"/>
        <v>1</v>
      </c>
      <c r="P328" s="155"/>
      <c r="Q328" s="186"/>
      <c r="R328" s="186" t="s">
        <v>873</v>
      </c>
      <c r="S328" s="139"/>
      <c r="V328" s="139"/>
    </row>
    <row r="329" spans="1:22">
      <c r="A329" s="186">
        <f t="shared" si="111"/>
        <v>12</v>
      </c>
      <c r="E329" s="141" t="s">
        <v>1829</v>
      </c>
      <c r="F329" s="141" t="s">
        <v>1756</v>
      </c>
      <c r="G329" s="154" t="str">
        <f t="shared" si="113"/>
        <v>12/</v>
      </c>
      <c r="H329" s="141" t="str">
        <f t="shared" si="114"/>
        <v>12/</v>
      </c>
      <c r="I329" s="139" t="e">
        <f t="shared" si="107"/>
        <v>#NUM!</v>
      </c>
      <c r="J329" s="139" t="e">
        <f t="shared" si="108"/>
        <v>#NUM!</v>
      </c>
      <c r="K329" s="155">
        <f t="shared" si="112"/>
        <v>-1</v>
      </c>
      <c r="N329" s="139">
        <f t="shared" si="109"/>
        <v>0</v>
      </c>
      <c r="O329" s="139">
        <f t="shared" si="110"/>
        <v>1</v>
      </c>
      <c r="P329" s="155"/>
      <c r="Q329" s="186"/>
      <c r="R329" s="186" t="s">
        <v>873</v>
      </c>
      <c r="S329" s="139"/>
      <c r="V329" s="139"/>
    </row>
    <row r="330" spans="1:22">
      <c r="A330" s="186">
        <f t="shared" si="111"/>
        <v>12</v>
      </c>
      <c r="E330" s="141" t="s">
        <v>1829</v>
      </c>
      <c r="F330" s="141" t="s">
        <v>1756</v>
      </c>
      <c r="G330" s="154" t="str">
        <f t="shared" si="113"/>
        <v>12/</v>
      </c>
      <c r="H330" s="141" t="str">
        <f t="shared" si="114"/>
        <v>12/</v>
      </c>
      <c r="I330" s="139" t="e">
        <f t="shared" si="107"/>
        <v>#NUM!</v>
      </c>
      <c r="J330" s="139" t="e">
        <f t="shared" si="108"/>
        <v>#NUM!</v>
      </c>
      <c r="K330" s="155">
        <f t="shared" si="112"/>
        <v>-1</v>
      </c>
      <c r="N330" s="139">
        <f t="shared" si="109"/>
        <v>0</v>
      </c>
      <c r="O330" s="139">
        <f t="shared" si="110"/>
        <v>1</v>
      </c>
      <c r="P330" s="155"/>
      <c r="Q330" s="186"/>
      <c r="R330" s="186" t="s">
        <v>873</v>
      </c>
      <c r="S330" s="139"/>
      <c r="V330" s="139"/>
    </row>
    <row r="331" spans="1:22">
      <c r="A331" s="186">
        <f t="shared" si="111"/>
        <v>12</v>
      </c>
      <c r="E331" s="141" t="s">
        <v>1829</v>
      </c>
      <c r="F331" s="141" t="s">
        <v>1756</v>
      </c>
      <c r="G331" s="154" t="str">
        <f t="shared" si="113"/>
        <v>12/</v>
      </c>
      <c r="H331" s="141" t="str">
        <f t="shared" si="114"/>
        <v>12/</v>
      </c>
      <c r="I331" s="139" t="e">
        <f t="shared" si="107"/>
        <v>#NUM!</v>
      </c>
      <c r="J331" s="139" t="e">
        <f t="shared" si="108"/>
        <v>#NUM!</v>
      </c>
      <c r="K331" s="155">
        <f t="shared" si="112"/>
        <v>-1</v>
      </c>
      <c r="N331" s="139">
        <f t="shared" si="109"/>
        <v>0</v>
      </c>
      <c r="O331" s="139">
        <f t="shared" si="110"/>
        <v>1</v>
      </c>
      <c r="P331" s="155"/>
      <c r="Q331" s="186"/>
      <c r="R331" s="186" t="s">
        <v>873</v>
      </c>
      <c r="S331" s="139"/>
      <c r="V331" s="139"/>
    </row>
    <row r="332" spans="1:22">
      <c r="A332" s="186">
        <f t="shared" si="111"/>
        <v>12</v>
      </c>
      <c r="E332" s="141" t="s">
        <v>1829</v>
      </c>
      <c r="F332" s="141" t="s">
        <v>1756</v>
      </c>
      <c r="G332" s="154" t="str">
        <f t="shared" si="113"/>
        <v>12/</v>
      </c>
      <c r="H332" s="141" t="str">
        <f t="shared" si="114"/>
        <v>12/</v>
      </c>
      <c r="I332" s="139" t="e">
        <f t="shared" si="107"/>
        <v>#NUM!</v>
      </c>
      <c r="J332" s="139" t="e">
        <f t="shared" si="108"/>
        <v>#NUM!</v>
      </c>
      <c r="K332" s="155">
        <f t="shared" si="112"/>
        <v>-1</v>
      </c>
      <c r="N332" s="139">
        <f t="shared" si="109"/>
        <v>0</v>
      </c>
      <c r="O332" s="139">
        <f t="shared" si="110"/>
        <v>1</v>
      </c>
      <c r="P332" s="155"/>
      <c r="Q332" s="186"/>
      <c r="R332" s="186" t="s">
        <v>873</v>
      </c>
      <c r="S332" s="139"/>
      <c r="V332" s="139"/>
    </row>
    <row r="333" spans="1:22">
      <c r="A333" s="186">
        <f t="shared" si="111"/>
        <v>12</v>
      </c>
      <c r="E333" s="141" t="s">
        <v>1829</v>
      </c>
      <c r="F333" s="141" t="s">
        <v>1756</v>
      </c>
      <c r="G333" s="154" t="str">
        <f t="shared" si="113"/>
        <v>12/</v>
      </c>
      <c r="H333" s="141" t="str">
        <f t="shared" si="114"/>
        <v>12/</v>
      </c>
      <c r="I333" s="139" t="e">
        <f t="shared" si="107"/>
        <v>#NUM!</v>
      </c>
      <c r="J333" s="139" t="e">
        <f t="shared" si="108"/>
        <v>#NUM!</v>
      </c>
      <c r="K333" s="155">
        <f t="shared" si="112"/>
        <v>-1</v>
      </c>
      <c r="N333" s="139">
        <f t="shared" si="109"/>
        <v>0</v>
      </c>
      <c r="O333" s="139">
        <f t="shared" si="110"/>
        <v>1</v>
      </c>
      <c r="P333" s="155"/>
      <c r="Q333" s="186"/>
      <c r="R333" s="186" t="s">
        <v>873</v>
      </c>
      <c r="S333" s="139"/>
      <c r="V333" s="139"/>
    </row>
    <row r="334" spans="1:22">
      <c r="A334" s="186">
        <f t="shared" si="111"/>
        <v>12</v>
      </c>
      <c r="E334" s="141" t="s">
        <v>1829</v>
      </c>
      <c r="F334" s="141" t="s">
        <v>1756</v>
      </c>
      <c r="G334" s="154" t="str">
        <f t="shared" si="113"/>
        <v>12/</v>
      </c>
      <c r="H334" s="141" t="str">
        <f t="shared" si="114"/>
        <v>12/</v>
      </c>
      <c r="I334" s="139" t="e">
        <f t="shared" si="107"/>
        <v>#NUM!</v>
      </c>
      <c r="J334" s="139" t="e">
        <f t="shared" si="108"/>
        <v>#NUM!</v>
      </c>
      <c r="K334" s="155">
        <f t="shared" si="112"/>
        <v>-1</v>
      </c>
      <c r="N334" s="139">
        <f t="shared" si="109"/>
        <v>0</v>
      </c>
      <c r="O334" s="139">
        <f t="shared" si="110"/>
        <v>1</v>
      </c>
      <c r="P334" s="155"/>
      <c r="Q334" s="186"/>
      <c r="R334" s="186" t="s">
        <v>873</v>
      </c>
      <c r="S334" s="139"/>
      <c r="V334" s="139"/>
    </row>
    <row r="335" spans="1:22">
      <c r="A335" s="186">
        <f t="shared" si="111"/>
        <v>12</v>
      </c>
      <c r="E335" s="141" t="s">
        <v>1829</v>
      </c>
      <c r="F335" s="141" t="s">
        <v>1756</v>
      </c>
      <c r="G335" s="154" t="str">
        <f t="shared" si="113"/>
        <v>12/</v>
      </c>
      <c r="H335" s="141" t="str">
        <f t="shared" si="114"/>
        <v>12/</v>
      </c>
      <c r="I335" s="139" t="e">
        <f t="shared" si="107"/>
        <v>#NUM!</v>
      </c>
      <c r="J335" s="139" t="e">
        <f t="shared" si="108"/>
        <v>#NUM!</v>
      </c>
      <c r="K335" s="155">
        <f t="shared" si="112"/>
        <v>-1</v>
      </c>
      <c r="N335" s="139">
        <f t="shared" si="109"/>
        <v>0</v>
      </c>
      <c r="O335" s="139">
        <f t="shared" si="110"/>
        <v>1</v>
      </c>
      <c r="P335" s="155"/>
      <c r="Q335" s="186"/>
      <c r="R335" s="186" t="s">
        <v>873</v>
      </c>
      <c r="S335" s="139"/>
      <c r="V335" s="139"/>
    </row>
    <row r="336" spans="1:22">
      <c r="A336" s="186">
        <f t="shared" si="111"/>
        <v>12</v>
      </c>
      <c r="E336" s="141" t="s">
        <v>1829</v>
      </c>
      <c r="F336" s="141" t="s">
        <v>1756</v>
      </c>
      <c r="G336" s="154" t="str">
        <f t="shared" si="113"/>
        <v>12/</v>
      </c>
      <c r="H336" s="141" t="str">
        <f t="shared" si="114"/>
        <v>12/</v>
      </c>
      <c r="I336" s="139" t="e">
        <f t="shared" si="107"/>
        <v>#NUM!</v>
      </c>
      <c r="J336" s="139" t="e">
        <f t="shared" si="108"/>
        <v>#NUM!</v>
      </c>
      <c r="K336" s="155">
        <f t="shared" si="112"/>
        <v>-1</v>
      </c>
      <c r="N336" s="139">
        <f t="shared" si="109"/>
        <v>0</v>
      </c>
      <c r="O336" s="139">
        <f t="shared" si="110"/>
        <v>1</v>
      </c>
      <c r="P336" s="155"/>
      <c r="Q336" s="186"/>
      <c r="R336" s="186" t="s">
        <v>873</v>
      </c>
      <c r="S336" s="139"/>
      <c r="V336" s="139"/>
    </row>
    <row r="337" spans="1:22">
      <c r="A337" s="186">
        <f t="shared" si="111"/>
        <v>12</v>
      </c>
      <c r="E337" s="141" t="s">
        <v>1829</v>
      </c>
      <c r="F337" s="141" t="s">
        <v>1756</v>
      </c>
      <c r="G337" s="154" t="str">
        <f t="shared" si="113"/>
        <v>12/</v>
      </c>
      <c r="H337" s="141" t="str">
        <f t="shared" si="114"/>
        <v>12/</v>
      </c>
      <c r="I337" s="139" t="e">
        <f t="shared" si="107"/>
        <v>#NUM!</v>
      </c>
      <c r="J337" s="139" t="e">
        <f t="shared" si="108"/>
        <v>#NUM!</v>
      </c>
      <c r="K337" s="155">
        <f t="shared" si="112"/>
        <v>-1</v>
      </c>
      <c r="N337" s="139">
        <f t="shared" si="109"/>
        <v>0</v>
      </c>
      <c r="O337" s="139">
        <f t="shared" si="110"/>
        <v>1</v>
      </c>
      <c r="P337" s="155"/>
      <c r="Q337" s="186"/>
      <c r="R337" s="186" t="s">
        <v>873</v>
      </c>
      <c r="S337" s="139"/>
      <c r="V337" s="139"/>
    </row>
    <row r="338" spans="1:22">
      <c r="A338" s="186">
        <f t="shared" si="111"/>
        <v>12</v>
      </c>
      <c r="E338" s="141" t="s">
        <v>1829</v>
      </c>
      <c r="F338" s="141" t="s">
        <v>1756</v>
      </c>
      <c r="G338" s="154" t="str">
        <f t="shared" si="113"/>
        <v>12/</v>
      </c>
      <c r="H338" s="141" t="str">
        <f t="shared" si="114"/>
        <v>12/</v>
      </c>
      <c r="I338" s="139" t="e">
        <f t="shared" si="107"/>
        <v>#NUM!</v>
      </c>
      <c r="J338" s="139" t="e">
        <f t="shared" si="108"/>
        <v>#NUM!</v>
      </c>
      <c r="K338" s="155">
        <f t="shared" si="112"/>
        <v>-1</v>
      </c>
      <c r="N338" s="139">
        <f t="shared" si="109"/>
        <v>0</v>
      </c>
      <c r="O338" s="139">
        <f t="shared" si="110"/>
        <v>1</v>
      </c>
      <c r="P338" s="155"/>
      <c r="Q338" s="186"/>
      <c r="R338" s="186" t="s">
        <v>873</v>
      </c>
      <c r="S338" s="139"/>
      <c r="V338" s="139"/>
    </row>
    <row r="339" spans="1:22">
      <c r="A339" s="186">
        <f t="shared" si="111"/>
        <v>12</v>
      </c>
      <c r="E339" s="141" t="s">
        <v>1829</v>
      </c>
      <c r="F339" s="141" t="s">
        <v>1756</v>
      </c>
      <c r="G339" s="154" t="str">
        <f t="shared" si="113"/>
        <v>12/</v>
      </c>
      <c r="H339" s="141" t="str">
        <f t="shared" si="114"/>
        <v>12/</v>
      </c>
      <c r="I339" s="139" t="e">
        <f t="shared" si="107"/>
        <v>#NUM!</v>
      </c>
      <c r="J339" s="139" t="e">
        <f t="shared" si="108"/>
        <v>#NUM!</v>
      </c>
      <c r="K339" s="155">
        <f t="shared" si="112"/>
        <v>-1</v>
      </c>
      <c r="N339" s="139">
        <f t="shared" si="109"/>
        <v>0</v>
      </c>
      <c r="O339" s="139">
        <f t="shared" si="110"/>
        <v>1</v>
      </c>
      <c r="P339" s="155"/>
      <c r="Q339" s="186"/>
      <c r="R339" s="186" t="s">
        <v>873</v>
      </c>
      <c r="S339" s="139"/>
      <c r="V339" s="139"/>
    </row>
    <row r="340" spans="1:22">
      <c r="A340" s="186">
        <f t="shared" si="111"/>
        <v>12</v>
      </c>
      <c r="E340" s="141" t="s">
        <v>1829</v>
      </c>
      <c r="F340" s="141" t="s">
        <v>1756</v>
      </c>
      <c r="G340" s="154" t="str">
        <f t="shared" si="113"/>
        <v>12/</v>
      </c>
      <c r="H340" s="141" t="str">
        <f t="shared" si="114"/>
        <v>12/</v>
      </c>
      <c r="I340" s="139" t="e">
        <f t="shared" si="107"/>
        <v>#NUM!</v>
      </c>
      <c r="J340" s="139" t="e">
        <f t="shared" si="108"/>
        <v>#NUM!</v>
      </c>
      <c r="K340" s="155">
        <f t="shared" si="112"/>
        <v>-1</v>
      </c>
      <c r="N340" s="139">
        <f t="shared" si="109"/>
        <v>0</v>
      </c>
      <c r="O340" s="139">
        <f t="shared" si="110"/>
        <v>1</v>
      </c>
      <c r="P340" s="155"/>
      <c r="Q340" s="186"/>
      <c r="R340" s="186" t="s">
        <v>873</v>
      </c>
      <c r="S340" s="139"/>
      <c r="V340" s="139"/>
    </row>
    <row r="341" spans="1:22">
      <c r="A341" s="186">
        <f t="shared" si="111"/>
        <v>12</v>
      </c>
      <c r="E341" s="141" t="s">
        <v>1829</v>
      </c>
      <c r="F341" s="141" t="s">
        <v>1756</v>
      </c>
      <c r="G341" s="154" t="str">
        <f t="shared" si="113"/>
        <v>12/</v>
      </c>
      <c r="H341" s="141" t="str">
        <f t="shared" si="114"/>
        <v>12/</v>
      </c>
      <c r="I341" s="139" t="e">
        <f t="shared" si="107"/>
        <v>#NUM!</v>
      </c>
      <c r="J341" s="139" t="e">
        <f t="shared" si="108"/>
        <v>#NUM!</v>
      </c>
      <c r="K341" s="155">
        <f t="shared" si="112"/>
        <v>-1</v>
      </c>
      <c r="N341" s="139">
        <f t="shared" si="109"/>
        <v>0</v>
      </c>
      <c r="O341" s="139">
        <f t="shared" si="110"/>
        <v>1</v>
      </c>
      <c r="P341" s="155"/>
      <c r="Q341" s="186"/>
      <c r="R341" s="186" t="s">
        <v>873</v>
      </c>
      <c r="S341" s="139"/>
      <c r="V341" s="139"/>
    </row>
    <row r="342" spans="1:22">
      <c r="A342" s="186">
        <f t="shared" si="111"/>
        <v>12</v>
      </c>
      <c r="E342" s="141" t="s">
        <v>1829</v>
      </c>
      <c r="F342" s="141" t="s">
        <v>1756</v>
      </c>
      <c r="G342" s="154" t="str">
        <f t="shared" si="113"/>
        <v>12/</v>
      </c>
      <c r="H342" s="141" t="str">
        <f t="shared" si="114"/>
        <v>12/</v>
      </c>
      <c r="I342" s="139" t="e">
        <f t="shared" si="107"/>
        <v>#NUM!</v>
      </c>
      <c r="J342" s="139" t="e">
        <f t="shared" si="108"/>
        <v>#NUM!</v>
      </c>
      <c r="K342" s="155">
        <f t="shared" si="112"/>
        <v>-1</v>
      </c>
      <c r="N342" s="139">
        <f t="shared" si="109"/>
        <v>0</v>
      </c>
      <c r="O342" s="139">
        <f t="shared" si="110"/>
        <v>1</v>
      </c>
      <c r="P342" s="155"/>
      <c r="Q342" s="186"/>
      <c r="R342" s="186" t="s">
        <v>873</v>
      </c>
      <c r="S342" s="139"/>
      <c r="V342" s="139"/>
    </row>
    <row r="343" spans="1:22">
      <c r="A343" s="186">
        <f t="shared" si="111"/>
        <v>12</v>
      </c>
      <c r="E343" s="141" t="s">
        <v>1829</v>
      </c>
      <c r="F343" s="141" t="s">
        <v>1756</v>
      </c>
      <c r="G343" s="154" t="str">
        <f t="shared" si="113"/>
        <v>12/</v>
      </c>
      <c r="H343" s="141" t="str">
        <f t="shared" si="114"/>
        <v>12/</v>
      </c>
      <c r="I343" s="139" t="e">
        <f t="shared" si="107"/>
        <v>#NUM!</v>
      </c>
      <c r="J343" s="139" t="e">
        <f t="shared" si="108"/>
        <v>#NUM!</v>
      </c>
      <c r="K343" s="155">
        <f t="shared" si="112"/>
        <v>-1</v>
      </c>
      <c r="N343" s="139">
        <f t="shared" si="109"/>
        <v>0</v>
      </c>
      <c r="O343" s="139">
        <f t="shared" si="110"/>
        <v>1</v>
      </c>
      <c r="P343" s="155"/>
      <c r="Q343" s="186"/>
      <c r="R343" s="186" t="s">
        <v>873</v>
      </c>
      <c r="S343" s="139"/>
      <c r="V343" s="139"/>
    </row>
    <row r="344" spans="1:22">
      <c r="A344" s="186">
        <f t="shared" si="111"/>
        <v>12</v>
      </c>
      <c r="E344" s="141" t="s">
        <v>1829</v>
      </c>
      <c r="F344" s="141" t="s">
        <v>1756</v>
      </c>
      <c r="G344" s="154" t="str">
        <f t="shared" si="113"/>
        <v>12/</v>
      </c>
      <c r="H344" s="141" t="str">
        <f t="shared" si="114"/>
        <v>12/</v>
      </c>
      <c r="I344" s="139" t="e">
        <f t="shared" si="107"/>
        <v>#NUM!</v>
      </c>
      <c r="J344" s="139" t="e">
        <f t="shared" si="108"/>
        <v>#NUM!</v>
      </c>
      <c r="K344" s="155">
        <f t="shared" si="112"/>
        <v>-1</v>
      </c>
      <c r="N344" s="139">
        <f t="shared" si="109"/>
        <v>0</v>
      </c>
      <c r="O344" s="139">
        <f t="shared" si="110"/>
        <v>1</v>
      </c>
      <c r="P344" s="155"/>
      <c r="Q344" s="186"/>
      <c r="R344" s="186" t="s">
        <v>873</v>
      </c>
      <c r="S344" s="139"/>
      <c r="V344" s="139"/>
    </row>
    <row r="345" spans="1:22">
      <c r="A345" s="186">
        <f t="shared" si="111"/>
        <v>12</v>
      </c>
      <c r="E345" s="141" t="s">
        <v>1829</v>
      </c>
      <c r="F345" s="141" t="s">
        <v>1756</v>
      </c>
      <c r="G345" s="154" t="str">
        <f t="shared" si="113"/>
        <v>12/</v>
      </c>
      <c r="H345" s="141" t="str">
        <f t="shared" si="114"/>
        <v>12/</v>
      </c>
      <c r="I345" s="139" t="e">
        <f t="shared" si="107"/>
        <v>#NUM!</v>
      </c>
      <c r="J345" s="139" t="e">
        <f t="shared" si="108"/>
        <v>#NUM!</v>
      </c>
      <c r="K345" s="155">
        <f t="shared" si="112"/>
        <v>-1</v>
      </c>
      <c r="N345" s="139">
        <f t="shared" si="109"/>
        <v>0</v>
      </c>
      <c r="O345" s="139">
        <f t="shared" si="110"/>
        <v>1</v>
      </c>
      <c r="P345" s="155"/>
      <c r="Q345" s="186"/>
      <c r="R345" s="186" t="s">
        <v>873</v>
      </c>
      <c r="S345" s="139"/>
      <c r="V345" s="139"/>
    </row>
    <row r="346" spans="1:22">
      <c r="A346" s="186">
        <f t="shared" si="111"/>
        <v>12</v>
      </c>
      <c r="E346" s="141" t="s">
        <v>1829</v>
      </c>
      <c r="F346" s="141" t="s">
        <v>1756</v>
      </c>
      <c r="G346" s="154" t="str">
        <f t="shared" si="113"/>
        <v>12/</v>
      </c>
      <c r="H346" s="141" t="str">
        <f t="shared" si="114"/>
        <v>12/</v>
      </c>
      <c r="I346" s="139" t="e">
        <f t="shared" si="107"/>
        <v>#NUM!</v>
      </c>
      <c r="J346" s="139" t="e">
        <f t="shared" si="108"/>
        <v>#NUM!</v>
      </c>
      <c r="K346" s="155">
        <f t="shared" si="112"/>
        <v>-1</v>
      </c>
      <c r="N346" s="139">
        <f t="shared" si="109"/>
        <v>0</v>
      </c>
      <c r="O346" s="139">
        <f t="shared" si="110"/>
        <v>1</v>
      </c>
      <c r="P346" s="155"/>
      <c r="Q346" s="186"/>
      <c r="R346" s="186" t="s">
        <v>873</v>
      </c>
      <c r="S346" s="139"/>
      <c r="V346" s="139"/>
    </row>
    <row r="347" spans="1:22">
      <c r="A347" s="186">
        <f t="shared" si="111"/>
        <v>12</v>
      </c>
      <c r="E347" s="141" t="s">
        <v>1829</v>
      </c>
      <c r="F347" s="141" t="s">
        <v>1756</v>
      </c>
      <c r="G347" s="154" t="str">
        <f t="shared" si="113"/>
        <v>12/</v>
      </c>
      <c r="H347" s="141" t="str">
        <f t="shared" si="114"/>
        <v>12/</v>
      </c>
      <c r="I347" s="139" t="e">
        <f t="shared" si="107"/>
        <v>#NUM!</v>
      </c>
      <c r="J347" s="139" t="e">
        <f t="shared" si="108"/>
        <v>#NUM!</v>
      </c>
      <c r="K347" s="155">
        <f t="shared" si="112"/>
        <v>-1</v>
      </c>
      <c r="N347" s="139">
        <f t="shared" si="109"/>
        <v>0</v>
      </c>
      <c r="O347" s="139">
        <f t="shared" si="110"/>
        <v>1</v>
      </c>
      <c r="P347" s="155"/>
      <c r="Q347" s="186"/>
      <c r="R347" s="186" t="s">
        <v>873</v>
      </c>
      <c r="S347" s="139"/>
      <c r="V347" s="139"/>
    </row>
    <row r="348" spans="1:22">
      <c r="A348" s="186">
        <f t="shared" si="111"/>
        <v>12</v>
      </c>
      <c r="E348" s="141" t="s">
        <v>1829</v>
      </c>
      <c r="F348" s="141" t="s">
        <v>1756</v>
      </c>
      <c r="G348" s="154" t="str">
        <f t="shared" si="113"/>
        <v>12/</v>
      </c>
      <c r="H348" s="141" t="str">
        <f t="shared" si="114"/>
        <v>12/</v>
      </c>
      <c r="I348" s="139" t="e">
        <f t="shared" si="107"/>
        <v>#NUM!</v>
      </c>
      <c r="J348" s="139" t="e">
        <f t="shared" si="108"/>
        <v>#NUM!</v>
      </c>
      <c r="K348" s="155">
        <f t="shared" si="112"/>
        <v>-1</v>
      </c>
      <c r="N348" s="139">
        <f t="shared" si="109"/>
        <v>0</v>
      </c>
      <c r="O348" s="139">
        <f t="shared" si="110"/>
        <v>1</v>
      </c>
      <c r="P348" s="155"/>
      <c r="Q348" s="186"/>
      <c r="R348" s="186" t="s">
        <v>873</v>
      </c>
      <c r="S348" s="139"/>
      <c r="V348" s="139"/>
    </row>
    <row r="349" spans="1:22">
      <c r="A349" s="186">
        <f t="shared" si="111"/>
        <v>12</v>
      </c>
      <c r="E349" s="141" t="s">
        <v>1829</v>
      </c>
      <c r="F349" s="141" t="s">
        <v>1756</v>
      </c>
      <c r="G349" s="154" t="str">
        <f t="shared" si="113"/>
        <v>12/</v>
      </c>
      <c r="H349" s="141" t="str">
        <f t="shared" si="114"/>
        <v>12/</v>
      </c>
      <c r="I349" s="139" t="e">
        <f t="shared" si="107"/>
        <v>#NUM!</v>
      </c>
      <c r="J349" s="139" t="e">
        <f t="shared" si="108"/>
        <v>#NUM!</v>
      </c>
      <c r="K349" s="155">
        <f t="shared" si="112"/>
        <v>-1</v>
      </c>
      <c r="N349" s="139">
        <f t="shared" si="109"/>
        <v>0</v>
      </c>
      <c r="O349" s="139">
        <f t="shared" si="110"/>
        <v>1</v>
      </c>
      <c r="P349" s="155"/>
      <c r="Q349" s="186"/>
      <c r="R349" s="186" t="s">
        <v>873</v>
      </c>
      <c r="S349" s="139"/>
      <c r="V349" s="139"/>
    </row>
    <row r="350" spans="1:22">
      <c r="A350" s="186">
        <f t="shared" si="111"/>
        <v>12</v>
      </c>
      <c r="E350" s="141" t="s">
        <v>1829</v>
      </c>
      <c r="F350" s="141" t="s">
        <v>1756</v>
      </c>
      <c r="G350" s="154" t="str">
        <f t="shared" si="113"/>
        <v>12/</v>
      </c>
      <c r="H350" s="141" t="str">
        <f t="shared" si="114"/>
        <v>12/</v>
      </c>
      <c r="I350" s="139" t="e">
        <f t="shared" si="107"/>
        <v>#NUM!</v>
      </c>
      <c r="J350" s="139" t="e">
        <f t="shared" si="108"/>
        <v>#NUM!</v>
      </c>
      <c r="K350" s="155">
        <f t="shared" si="112"/>
        <v>-1</v>
      </c>
      <c r="N350" s="139">
        <f t="shared" si="109"/>
        <v>0</v>
      </c>
      <c r="O350" s="139">
        <f t="shared" si="110"/>
        <v>1</v>
      </c>
      <c r="P350" s="155"/>
      <c r="Q350" s="186"/>
      <c r="R350" s="186" t="s">
        <v>873</v>
      </c>
      <c r="S350" s="139"/>
      <c r="V350" s="139"/>
    </row>
    <row r="351" spans="1:22">
      <c r="A351" s="186">
        <f t="shared" si="111"/>
        <v>12</v>
      </c>
      <c r="E351" s="141" t="s">
        <v>1829</v>
      </c>
      <c r="F351" s="141" t="s">
        <v>1756</v>
      </c>
      <c r="G351" s="154" t="str">
        <f t="shared" si="113"/>
        <v>12/</v>
      </c>
      <c r="H351" s="141" t="str">
        <f t="shared" si="114"/>
        <v>12/</v>
      </c>
      <c r="I351" s="139" t="e">
        <f t="shared" si="107"/>
        <v>#NUM!</v>
      </c>
      <c r="J351" s="139" t="e">
        <f t="shared" si="108"/>
        <v>#NUM!</v>
      </c>
      <c r="K351" s="155">
        <f t="shared" si="112"/>
        <v>-1</v>
      </c>
      <c r="N351" s="139">
        <f t="shared" si="109"/>
        <v>0</v>
      </c>
      <c r="O351" s="139">
        <f t="shared" si="110"/>
        <v>1</v>
      </c>
      <c r="P351" s="155"/>
      <c r="Q351" s="186"/>
      <c r="R351" s="186" t="s">
        <v>873</v>
      </c>
      <c r="S351" s="139"/>
      <c r="V351" s="139"/>
    </row>
    <row r="352" spans="1:22">
      <c r="A352" s="186">
        <f t="shared" si="111"/>
        <v>12</v>
      </c>
      <c r="E352" s="141" t="s">
        <v>1829</v>
      </c>
      <c r="F352" s="141" t="s">
        <v>1756</v>
      </c>
      <c r="G352" s="154" t="str">
        <f t="shared" si="113"/>
        <v>12/</v>
      </c>
      <c r="H352" s="141" t="str">
        <f t="shared" si="114"/>
        <v>12/</v>
      </c>
      <c r="I352" s="139" t="e">
        <f t="shared" si="107"/>
        <v>#NUM!</v>
      </c>
      <c r="J352" s="139" t="e">
        <f t="shared" si="108"/>
        <v>#NUM!</v>
      </c>
      <c r="K352" s="155">
        <f t="shared" si="112"/>
        <v>-1</v>
      </c>
      <c r="N352" s="139">
        <f t="shared" si="109"/>
        <v>0</v>
      </c>
      <c r="O352" s="139">
        <f t="shared" si="110"/>
        <v>1</v>
      </c>
      <c r="P352" s="155"/>
      <c r="Q352" s="186"/>
      <c r="R352" s="186" t="s">
        <v>873</v>
      </c>
      <c r="S352" s="139"/>
      <c r="V352" s="139"/>
    </row>
    <row r="353" spans="1:22">
      <c r="A353" s="186">
        <f t="shared" si="111"/>
        <v>12</v>
      </c>
      <c r="E353" s="141" t="s">
        <v>1829</v>
      </c>
      <c r="F353" s="141" t="s">
        <v>1756</v>
      </c>
      <c r="G353" s="154" t="str">
        <f t="shared" si="113"/>
        <v>12/</v>
      </c>
      <c r="H353" s="141" t="str">
        <f t="shared" si="114"/>
        <v>12/</v>
      </c>
      <c r="I353" s="139" t="e">
        <f t="shared" si="107"/>
        <v>#NUM!</v>
      </c>
      <c r="J353" s="139" t="e">
        <f t="shared" si="108"/>
        <v>#NUM!</v>
      </c>
      <c r="K353" s="155">
        <f t="shared" si="112"/>
        <v>-1</v>
      </c>
      <c r="N353" s="139">
        <f t="shared" si="109"/>
        <v>0</v>
      </c>
      <c r="O353" s="139">
        <f t="shared" si="110"/>
        <v>1</v>
      </c>
      <c r="P353" s="155"/>
      <c r="Q353" s="186"/>
      <c r="R353" s="186" t="s">
        <v>873</v>
      </c>
      <c r="S353" s="139"/>
      <c r="V353" s="139"/>
    </row>
    <row r="354" spans="1:22">
      <c r="A354" s="186">
        <f t="shared" si="111"/>
        <v>12</v>
      </c>
      <c r="E354" s="141" t="s">
        <v>1829</v>
      </c>
      <c r="F354" s="141" t="s">
        <v>1756</v>
      </c>
      <c r="G354" s="154" t="str">
        <f t="shared" si="113"/>
        <v>12/</v>
      </c>
      <c r="H354" s="141" t="str">
        <f t="shared" si="114"/>
        <v>12/</v>
      </c>
      <c r="I354" s="139" t="e">
        <f t="shared" si="107"/>
        <v>#NUM!</v>
      </c>
      <c r="J354" s="139" t="e">
        <f t="shared" si="108"/>
        <v>#NUM!</v>
      </c>
      <c r="K354" s="155">
        <f t="shared" si="112"/>
        <v>-1</v>
      </c>
      <c r="N354" s="139">
        <f t="shared" si="109"/>
        <v>0</v>
      </c>
      <c r="O354" s="139">
        <f t="shared" si="110"/>
        <v>1</v>
      </c>
      <c r="P354" s="155"/>
      <c r="Q354" s="186"/>
      <c r="R354" s="186" t="s">
        <v>873</v>
      </c>
      <c r="S354" s="139"/>
      <c r="V354" s="139"/>
    </row>
    <row r="355" spans="1:22">
      <c r="A355" s="186">
        <f t="shared" si="111"/>
        <v>12</v>
      </c>
      <c r="E355" s="141" t="s">
        <v>1829</v>
      </c>
      <c r="F355" s="141" t="s">
        <v>1756</v>
      </c>
      <c r="G355" s="154" t="str">
        <f t="shared" si="113"/>
        <v>12/</v>
      </c>
      <c r="H355" s="141" t="str">
        <f t="shared" si="114"/>
        <v>12/</v>
      </c>
      <c r="I355" s="139" t="e">
        <f t="shared" si="107"/>
        <v>#NUM!</v>
      </c>
      <c r="J355" s="139" t="e">
        <f t="shared" si="108"/>
        <v>#NUM!</v>
      </c>
      <c r="K355" s="155">
        <f t="shared" si="112"/>
        <v>-1</v>
      </c>
      <c r="N355" s="139">
        <f t="shared" si="109"/>
        <v>0</v>
      </c>
      <c r="O355" s="139">
        <f t="shared" si="110"/>
        <v>1</v>
      </c>
      <c r="P355" s="155"/>
      <c r="Q355" s="186"/>
      <c r="R355" s="186" t="s">
        <v>873</v>
      </c>
      <c r="S355" s="139"/>
      <c r="V355" s="139"/>
    </row>
    <row r="356" spans="1:22">
      <c r="A356" s="186">
        <f t="shared" si="111"/>
        <v>12</v>
      </c>
      <c r="E356" s="141" t="s">
        <v>1829</v>
      </c>
      <c r="F356" s="141" t="s">
        <v>1756</v>
      </c>
      <c r="G356" s="154" t="str">
        <f t="shared" si="113"/>
        <v>12/</v>
      </c>
      <c r="H356" s="141" t="str">
        <f t="shared" si="114"/>
        <v>12/</v>
      </c>
      <c r="I356" s="139" t="e">
        <f t="shared" si="107"/>
        <v>#NUM!</v>
      </c>
      <c r="J356" s="139" t="e">
        <f t="shared" si="108"/>
        <v>#NUM!</v>
      </c>
      <c r="K356" s="155">
        <f t="shared" si="112"/>
        <v>-1</v>
      </c>
      <c r="N356" s="139">
        <f t="shared" si="109"/>
        <v>0</v>
      </c>
      <c r="O356" s="139">
        <f t="shared" si="110"/>
        <v>1</v>
      </c>
      <c r="P356" s="155"/>
      <c r="Q356" s="186"/>
      <c r="R356" s="186" t="s">
        <v>873</v>
      </c>
      <c r="S356" s="139"/>
      <c r="V356" s="139"/>
    </row>
    <row r="357" spans="1:22">
      <c r="A357" s="186">
        <f t="shared" si="111"/>
        <v>12</v>
      </c>
      <c r="E357" s="141" t="s">
        <v>1829</v>
      </c>
      <c r="F357" s="141" t="s">
        <v>1756</v>
      </c>
      <c r="G357" s="154" t="str">
        <f t="shared" si="113"/>
        <v>12/</v>
      </c>
      <c r="H357" s="141" t="str">
        <f t="shared" si="114"/>
        <v>12/</v>
      </c>
      <c r="I357" s="139" t="e">
        <f t="shared" si="107"/>
        <v>#NUM!</v>
      </c>
      <c r="J357" s="139" t="e">
        <f t="shared" si="108"/>
        <v>#NUM!</v>
      </c>
      <c r="K357" s="155">
        <f t="shared" si="112"/>
        <v>-1</v>
      </c>
      <c r="N357" s="139">
        <f t="shared" si="109"/>
        <v>0</v>
      </c>
      <c r="O357" s="139">
        <f t="shared" si="110"/>
        <v>1</v>
      </c>
      <c r="P357" s="155"/>
      <c r="Q357" s="186"/>
      <c r="R357" s="186" t="s">
        <v>873</v>
      </c>
      <c r="S357" s="139"/>
      <c r="V357" s="139"/>
    </row>
    <row r="358" spans="1:22">
      <c r="A358" s="186">
        <f t="shared" si="111"/>
        <v>12</v>
      </c>
      <c r="E358" s="141" t="s">
        <v>1829</v>
      </c>
      <c r="F358" s="141" t="s">
        <v>1756</v>
      </c>
      <c r="G358" s="154" t="str">
        <f t="shared" si="113"/>
        <v>12/</v>
      </c>
      <c r="H358" s="141" t="str">
        <f t="shared" si="114"/>
        <v>12/</v>
      </c>
      <c r="I358" s="139" t="e">
        <f t="shared" si="107"/>
        <v>#NUM!</v>
      </c>
      <c r="J358" s="139" t="e">
        <f t="shared" si="108"/>
        <v>#NUM!</v>
      </c>
      <c r="K358" s="155">
        <f t="shared" si="112"/>
        <v>-1</v>
      </c>
      <c r="N358" s="139">
        <f t="shared" si="109"/>
        <v>0</v>
      </c>
      <c r="O358" s="139">
        <f t="shared" si="110"/>
        <v>1</v>
      </c>
      <c r="P358" s="155"/>
      <c r="Q358" s="186"/>
      <c r="R358" s="186" t="s">
        <v>873</v>
      </c>
      <c r="S358" s="139"/>
      <c r="V358" s="139"/>
    </row>
    <row r="359" spans="1:22">
      <c r="A359" s="186">
        <f t="shared" si="111"/>
        <v>12</v>
      </c>
      <c r="E359" s="141" t="s">
        <v>1829</v>
      </c>
      <c r="F359" s="141" t="s">
        <v>1756</v>
      </c>
      <c r="G359" s="154" t="str">
        <f t="shared" si="113"/>
        <v>12/</v>
      </c>
      <c r="H359" s="141" t="str">
        <f t="shared" si="114"/>
        <v>12/</v>
      </c>
      <c r="I359" s="139" t="e">
        <f t="shared" si="107"/>
        <v>#NUM!</v>
      </c>
      <c r="J359" s="139" t="e">
        <f t="shared" si="108"/>
        <v>#NUM!</v>
      </c>
      <c r="K359" s="155">
        <f t="shared" si="112"/>
        <v>-1</v>
      </c>
      <c r="N359" s="139">
        <f t="shared" si="109"/>
        <v>0</v>
      </c>
      <c r="O359" s="139">
        <f t="shared" si="110"/>
        <v>1</v>
      </c>
      <c r="P359" s="155"/>
      <c r="Q359" s="186"/>
      <c r="R359" s="186" t="s">
        <v>873</v>
      </c>
      <c r="S359" s="139"/>
      <c r="V359" s="139"/>
    </row>
    <row r="360" spans="1:22">
      <c r="A360" s="186">
        <f t="shared" si="111"/>
        <v>12</v>
      </c>
      <c r="E360" s="141" t="s">
        <v>1829</v>
      </c>
      <c r="F360" s="141" t="s">
        <v>1756</v>
      </c>
      <c r="G360" s="154" t="str">
        <f t="shared" si="113"/>
        <v>12/</v>
      </c>
      <c r="H360" s="141" t="str">
        <f t="shared" si="114"/>
        <v>12/</v>
      </c>
      <c r="I360" s="139" t="e">
        <f t="shared" si="107"/>
        <v>#NUM!</v>
      </c>
      <c r="J360" s="139" t="e">
        <f t="shared" si="108"/>
        <v>#NUM!</v>
      </c>
      <c r="K360" s="155">
        <f t="shared" si="112"/>
        <v>-1</v>
      </c>
      <c r="N360" s="139">
        <f t="shared" si="109"/>
        <v>0</v>
      </c>
      <c r="O360" s="139">
        <f t="shared" si="110"/>
        <v>1</v>
      </c>
      <c r="P360" s="155"/>
      <c r="Q360" s="186"/>
      <c r="R360" s="186" t="s">
        <v>873</v>
      </c>
      <c r="S360" s="139"/>
      <c r="V360" s="139"/>
    </row>
    <row r="361" spans="1:22">
      <c r="A361" s="186">
        <f t="shared" si="111"/>
        <v>12</v>
      </c>
      <c r="E361" s="141" t="s">
        <v>1829</v>
      </c>
      <c r="F361" s="141" t="s">
        <v>1756</v>
      </c>
      <c r="G361" s="154" t="str">
        <f t="shared" si="113"/>
        <v>12/</v>
      </c>
      <c r="H361" s="141" t="str">
        <f t="shared" si="114"/>
        <v>12/</v>
      </c>
      <c r="I361" s="139" t="e">
        <f t="shared" si="107"/>
        <v>#NUM!</v>
      </c>
      <c r="J361" s="139" t="e">
        <f t="shared" si="108"/>
        <v>#NUM!</v>
      </c>
      <c r="K361" s="155">
        <f t="shared" si="112"/>
        <v>-1</v>
      </c>
      <c r="N361" s="139">
        <f t="shared" si="109"/>
        <v>0</v>
      </c>
      <c r="O361" s="139">
        <f t="shared" si="110"/>
        <v>1</v>
      </c>
      <c r="P361" s="155"/>
      <c r="Q361" s="186"/>
      <c r="R361" s="186" t="s">
        <v>873</v>
      </c>
      <c r="S361" s="139"/>
      <c r="V361" s="139"/>
    </row>
    <row r="362" spans="1:22">
      <c r="A362" s="186">
        <f t="shared" ref="A362:A425" si="115">A361</f>
        <v>12</v>
      </c>
      <c r="E362" s="141" t="s">
        <v>1829</v>
      </c>
      <c r="F362" s="141" t="s">
        <v>1756</v>
      </c>
      <c r="G362" s="154" t="str">
        <f t="shared" si="113"/>
        <v>12/</v>
      </c>
      <c r="H362" s="141" t="str">
        <f t="shared" si="114"/>
        <v>12/</v>
      </c>
      <c r="I362" s="139" t="e">
        <f t="shared" si="107"/>
        <v>#NUM!</v>
      </c>
      <c r="J362" s="139" t="e">
        <f t="shared" si="108"/>
        <v>#NUM!</v>
      </c>
      <c r="K362" s="155">
        <f t="shared" si="112"/>
        <v>-1</v>
      </c>
      <c r="N362" s="139">
        <f t="shared" si="109"/>
        <v>0</v>
      </c>
      <c r="O362" s="139">
        <f t="shared" si="110"/>
        <v>1</v>
      </c>
      <c r="P362" s="155"/>
      <c r="Q362" s="186"/>
      <c r="R362" s="186" t="s">
        <v>873</v>
      </c>
      <c r="S362" s="139"/>
      <c r="V362" s="139"/>
    </row>
    <row r="363" spans="1:22">
      <c r="A363" s="186">
        <f t="shared" si="115"/>
        <v>12</v>
      </c>
      <c r="E363" s="141" t="s">
        <v>1829</v>
      </c>
      <c r="F363" s="141" t="s">
        <v>1756</v>
      </c>
      <c r="G363" s="154" t="str">
        <f t="shared" si="113"/>
        <v>12/</v>
      </c>
      <c r="H363" s="141" t="str">
        <f t="shared" si="114"/>
        <v>12/</v>
      </c>
      <c r="I363" s="139" t="e">
        <f t="shared" si="107"/>
        <v>#NUM!</v>
      </c>
      <c r="J363" s="139" t="e">
        <f t="shared" si="108"/>
        <v>#NUM!</v>
      </c>
      <c r="K363" s="155">
        <f t="shared" si="112"/>
        <v>-1</v>
      </c>
      <c r="N363" s="139">
        <f t="shared" si="109"/>
        <v>0</v>
      </c>
      <c r="O363" s="139">
        <f t="shared" si="110"/>
        <v>1</v>
      </c>
      <c r="P363" s="155"/>
      <c r="Q363" s="186"/>
      <c r="R363" s="186" t="s">
        <v>873</v>
      </c>
      <c r="S363" s="139"/>
      <c r="V363" s="139"/>
    </row>
    <row r="364" spans="1:22">
      <c r="A364" s="186">
        <f t="shared" si="115"/>
        <v>12</v>
      </c>
      <c r="E364" s="141" t="s">
        <v>1829</v>
      </c>
      <c r="F364" s="141" t="s">
        <v>1756</v>
      </c>
      <c r="G364" s="154" t="str">
        <f t="shared" si="113"/>
        <v>12/</v>
      </c>
      <c r="H364" s="141" t="str">
        <f t="shared" si="114"/>
        <v>12/</v>
      </c>
      <c r="I364" s="139" t="e">
        <f t="shared" si="107"/>
        <v>#NUM!</v>
      </c>
      <c r="J364" s="139" t="e">
        <f t="shared" si="108"/>
        <v>#NUM!</v>
      </c>
      <c r="K364" s="155">
        <f t="shared" si="112"/>
        <v>-1</v>
      </c>
      <c r="N364" s="139">
        <f t="shared" si="109"/>
        <v>0</v>
      </c>
      <c r="O364" s="139">
        <f t="shared" si="110"/>
        <v>1</v>
      </c>
      <c r="P364" s="155"/>
      <c r="Q364" s="186"/>
      <c r="R364" s="186" t="s">
        <v>873</v>
      </c>
      <c r="S364" s="139"/>
      <c r="V364" s="139"/>
    </row>
    <row r="365" spans="1:22">
      <c r="A365" s="186">
        <f t="shared" si="115"/>
        <v>12</v>
      </c>
      <c r="E365" s="141" t="s">
        <v>1829</v>
      </c>
      <c r="F365" s="141" t="s">
        <v>1756</v>
      </c>
      <c r="G365" s="154" t="str">
        <f t="shared" si="113"/>
        <v>12/</v>
      </c>
      <c r="H365" s="141" t="str">
        <f t="shared" si="114"/>
        <v>12/</v>
      </c>
      <c r="I365" s="139" t="e">
        <f t="shared" si="107"/>
        <v>#NUM!</v>
      </c>
      <c r="J365" s="139" t="e">
        <f t="shared" si="108"/>
        <v>#NUM!</v>
      </c>
      <c r="K365" s="155">
        <f t="shared" si="112"/>
        <v>-1</v>
      </c>
      <c r="N365" s="139">
        <f t="shared" si="109"/>
        <v>0</v>
      </c>
      <c r="O365" s="139">
        <f t="shared" si="110"/>
        <v>1</v>
      </c>
      <c r="P365" s="155"/>
      <c r="Q365" s="186"/>
      <c r="R365" s="186" t="s">
        <v>873</v>
      </c>
      <c r="S365" s="139"/>
      <c r="V365" s="139"/>
    </row>
    <row r="366" spans="1:22">
      <c r="A366" s="186">
        <f t="shared" si="115"/>
        <v>12</v>
      </c>
      <c r="E366" s="141" t="s">
        <v>1829</v>
      </c>
      <c r="F366" s="141" t="s">
        <v>1756</v>
      </c>
      <c r="G366" s="154" t="str">
        <f t="shared" si="113"/>
        <v>12/</v>
      </c>
      <c r="H366" s="141" t="str">
        <f t="shared" si="114"/>
        <v>12/</v>
      </c>
      <c r="I366" s="139" t="e">
        <f t="shared" si="107"/>
        <v>#NUM!</v>
      </c>
      <c r="J366" s="139" t="e">
        <f t="shared" si="108"/>
        <v>#NUM!</v>
      </c>
      <c r="K366" s="155">
        <f t="shared" si="112"/>
        <v>-1</v>
      </c>
      <c r="N366" s="139">
        <f t="shared" si="109"/>
        <v>0</v>
      </c>
      <c r="O366" s="139">
        <f t="shared" si="110"/>
        <v>1</v>
      </c>
      <c r="P366" s="155"/>
      <c r="Q366" s="186"/>
      <c r="R366" s="186" t="s">
        <v>873</v>
      </c>
      <c r="S366" s="139"/>
      <c r="V366" s="139"/>
    </row>
    <row r="367" spans="1:22">
      <c r="A367" s="186">
        <f t="shared" si="115"/>
        <v>12</v>
      </c>
      <c r="E367" s="141" t="s">
        <v>1829</v>
      </c>
      <c r="F367" s="141" t="s">
        <v>1756</v>
      </c>
      <c r="G367" s="154" t="str">
        <f t="shared" si="113"/>
        <v>12/</v>
      </c>
      <c r="H367" s="141" t="str">
        <f t="shared" si="114"/>
        <v>12/</v>
      </c>
      <c r="I367" s="139" t="e">
        <f t="shared" si="107"/>
        <v>#NUM!</v>
      </c>
      <c r="J367" s="139" t="e">
        <f t="shared" si="108"/>
        <v>#NUM!</v>
      </c>
      <c r="K367" s="155">
        <f t="shared" si="112"/>
        <v>-1</v>
      </c>
      <c r="N367" s="139">
        <f t="shared" si="109"/>
        <v>0</v>
      </c>
      <c r="O367" s="139">
        <f t="shared" si="110"/>
        <v>1</v>
      </c>
      <c r="P367" s="155"/>
      <c r="Q367" s="186"/>
      <c r="R367" s="186" t="s">
        <v>873</v>
      </c>
      <c r="S367" s="139"/>
      <c r="V367" s="139"/>
    </row>
    <row r="368" spans="1:22">
      <c r="A368" s="186">
        <f t="shared" si="115"/>
        <v>12</v>
      </c>
      <c r="E368" s="141" t="s">
        <v>1829</v>
      </c>
      <c r="F368" s="141" t="s">
        <v>1756</v>
      </c>
      <c r="G368" s="154" t="str">
        <f t="shared" si="113"/>
        <v>12/</v>
      </c>
      <c r="H368" s="141" t="str">
        <f t="shared" si="114"/>
        <v>12/</v>
      </c>
      <c r="I368" s="139" t="e">
        <f t="shared" si="107"/>
        <v>#NUM!</v>
      </c>
      <c r="J368" s="139" t="e">
        <f t="shared" si="108"/>
        <v>#NUM!</v>
      </c>
      <c r="K368" s="155">
        <f t="shared" si="112"/>
        <v>-1</v>
      </c>
      <c r="N368" s="139">
        <f t="shared" si="109"/>
        <v>0</v>
      </c>
      <c r="O368" s="139">
        <f t="shared" si="110"/>
        <v>1</v>
      </c>
      <c r="P368" s="155"/>
      <c r="Q368" s="186"/>
      <c r="R368" s="186" t="s">
        <v>873</v>
      </c>
      <c r="S368" s="139"/>
      <c r="V368" s="139"/>
    </row>
    <row r="369" spans="1:22">
      <c r="A369" s="186">
        <f t="shared" si="115"/>
        <v>12</v>
      </c>
      <c r="E369" s="141" t="s">
        <v>1829</v>
      </c>
      <c r="F369" s="141" t="s">
        <v>1756</v>
      </c>
      <c r="G369" s="154" t="str">
        <f t="shared" si="113"/>
        <v>12/</v>
      </c>
      <c r="H369" s="141" t="str">
        <f t="shared" si="114"/>
        <v>12/</v>
      </c>
      <c r="I369" s="139" t="e">
        <f t="shared" si="107"/>
        <v>#NUM!</v>
      </c>
      <c r="J369" s="139" t="e">
        <f t="shared" si="108"/>
        <v>#NUM!</v>
      </c>
      <c r="K369" s="155">
        <f t="shared" si="112"/>
        <v>-1</v>
      </c>
      <c r="N369" s="139">
        <f t="shared" si="109"/>
        <v>0</v>
      </c>
      <c r="O369" s="139">
        <f t="shared" si="110"/>
        <v>1</v>
      </c>
      <c r="P369" s="155"/>
      <c r="Q369" s="186"/>
      <c r="R369" s="186" t="s">
        <v>873</v>
      </c>
      <c r="S369" s="139"/>
      <c r="V369" s="139"/>
    </row>
    <row r="370" spans="1:22">
      <c r="A370" s="186">
        <f t="shared" si="115"/>
        <v>12</v>
      </c>
      <c r="E370" s="141" t="s">
        <v>1829</v>
      </c>
      <c r="F370" s="141" t="s">
        <v>1756</v>
      </c>
      <c r="G370" s="154" t="str">
        <f t="shared" si="113"/>
        <v>12/</v>
      </c>
      <c r="H370" s="141" t="str">
        <f t="shared" si="114"/>
        <v>12/</v>
      </c>
      <c r="I370" s="139" t="e">
        <f t="shared" si="107"/>
        <v>#NUM!</v>
      </c>
      <c r="J370" s="139" t="e">
        <f t="shared" si="108"/>
        <v>#NUM!</v>
      </c>
      <c r="K370" s="155">
        <f t="shared" si="112"/>
        <v>-1</v>
      </c>
      <c r="N370" s="139">
        <f t="shared" si="109"/>
        <v>0</v>
      </c>
      <c r="O370" s="139">
        <f t="shared" si="110"/>
        <v>1</v>
      </c>
      <c r="P370" s="155"/>
      <c r="Q370" s="186"/>
      <c r="R370" s="186" t="s">
        <v>873</v>
      </c>
      <c r="S370" s="139"/>
      <c r="V370" s="139"/>
    </row>
    <row r="371" spans="1:22">
      <c r="A371" s="186">
        <f t="shared" si="115"/>
        <v>12</v>
      </c>
      <c r="E371" s="141" t="s">
        <v>1829</v>
      </c>
      <c r="F371" s="141" t="s">
        <v>1756</v>
      </c>
      <c r="G371" s="154" t="str">
        <f t="shared" si="113"/>
        <v>12/</v>
      </c>
      <c r="H371" s="141" t="str">
        <f t="shared" si="114"/>
        <v>12/</v>
      </c>
      <c r="I371" s="139" t="e">
        <f t="shared" ref="I371:I434" si="116">DAY(K371)</f>
        <v>#NUM!</v>
      </c>
      <c r="J371" s="139" t="e">
        <f t="shared" ref="J371:J434" si="117">MONTH(K371)</f>
        <v>#NUM!</v>
      </c>
      <c r="K371" s="155">
        <f t="shared" si="112"/>
        <v>-1</v>
      </c>
      <c r="N371" s="139">
        <f t="shared" ref="N371:N434" si="118">DAY(P371)</f>
        <v>0</v>
      </c>
      <c r="O371" s="139">
        <f t="shared" ref="O371:O434" si="119">MONTH(P371)</f>
        <v>1</v>
      </c>
      <c r="P371" s="155"/>
      <c r="Q371" s="186"/>
      <c r="R371" s="186" t="s">
        <v>873</v>
      </c>
      <c r="S371" s="139"/>
      <c r="V371" s="139"/>
    </row>
    <row r="372" spans="1:22">
      <c r="A372" s="186">
        <f t="shared" si="115"/>
        <v>12</v>
      </c>
      <c r="E372" s="141" t="s">
        <v>1829</v>
      </c>
      <c r="F372" s="141" t="s">
        <v>1756</v>
      </c>
      <c r="G372" s="154" t="str">
        <f t="shared" si="113"/>
        <v>12/</v>
      </c>
      <c r="H372" s="141" t="str">
        <f t="shared" si="114"/>
        <v>12/</v>
      </c>
      <c r="I372" s="139" t="e">
        <f t="shared" si="116"/>
        <v>#NUM!</v>
      </c>
      <c r="J372" s="139" t="e">
        <f t="shared" si="117"/>
        <v>#NUM!</v>
      </c>
      <c r="K372" s="155">
        <f t="shared" si="112"/>
        <v>-1</v>
      </c>
      <c r="N372" s="139">
        <f t="shared" si="118"/>
        <v>0</v>
      </c>
      <c r="O372" s="139">
        <f t="shared" si="119"/>
        <v>1</v>
      </c>
      <c r="P372" s="155"/>
      <c r="Q372" s="186"/>
      <c r="R372" s="186" t="s">
        <v>873</v>
      </c>
      <c r="S372" s="139"/>
      <c r="V372" s="139"/>
    </row>
    <row r="373" spans="1:22">
      <c r="A373" s="186">
        <f t="shared" si="115"/>
        <v>12</v>
      </c>
      <c r="E373" s="141" t="s">
        <v>1829</v>
      </c>
      <c r="F373" s="141" t="s">
        <v>1756</v>
      </c>
      <c r="G373" s="154" t="str">
        <f t="shared" si="113"/>
        <v>12/</v>
      </c>
      <c r="H373" s="141" t="str">
        <f t="shared" si="114"/>
        <v>12/</v>
      </c>
      <c r="I373" s="139" t="e">
        <f t="shared" si="116"/>
        <v>#NUM!</v>
      </c>
      <c r="J373" s="139" t="e">
        <f t="shared" si="117"/>
        <v>#NUM!</v>
      </c>
      <c r="K373" s="155">
        <f t="shared" si="112"/>
        <v>-1</v>
      </c>
      <c r="N373" s="139">
        <f t="shared" si="118"/>
        <v>0</v>
      </c>
      <c r="O373" s="139">
        <f t="shared" si="119"/>
        <v>1</v>
      </c>
      <c r="P373" s="155"/>
      <c r="Q373" s="186"/>
      <c r="R373" s="186" t="s">
        <v>873</v>
      </c>
      <c r="S373" s="139"/>
      <c r="V373" s="139"/>
    </row>
    <row r="374" spans="1:22">
      <c r="A374" s="186">
        <f t="shared" si="115"/>
        <v>12</v>
      </c>
      <c r="E374" s="141" t="s">
        <v>1829</v>
      </c>
      <c r="F374" s="141" t="s">
        <v>1756</v>
      </c>
      <c r="G374" s="154" t="str">
        <f t="shared" si="113"/>
        <v>12/</v>
      </c>
      <c r="H374" s="141" t="str">
        <f t="shared" si="114"/>
        <v>12/</v>
      </c>
      <c r="I374" s="139" t="e">
        <f t="shared" si="116"/>
        <v>#NUM!</v>
      </c>
      <c r="J374" s="139" t="e">
        <f t="shared" si="117"/>
        <v>#NUM!</v>
      </c>
      <c r="K374" s="155">
        <f t="shared" si="112"/>
        <v>-1</v>
      </c>
      <c r="N374" s="139">
        <f t="shared" si="118"/>
        <v>0</v>
      </c>
      <c r="O374" s="139">
        <f t="shared" si="119"/>
        <v>1</v>
      </c>
      <c r="P374" s="155"/>
      <c r="Q374" s="186"/>
      <c r="R374" s="186" t="s">
        <v>873</v>
      </c>
      <c r="S374" s="139"/>
      <c r="V374" s="139"/>
    </row>
    <row r="375" spans="1:22">
      <c r="A375" s="186">
        <f t="shared" si="115"/>
        <v>12</v>
      </c>
      <c r="E375" s="141" t="s">
        <v>1829</v>
      </c>
      <c r="F375" s="141" t="s">
        <v>1756</v>
      </c>
      <c r="G375" s="154" t="str">
        <f t="shared" si="113"/>
        <v>12/</v>
      </c>
      <c r="H375" s="141" t="str">
        <f t="shared" si="114"/>
        <v>12/</v>
      </c>
      <c r="I375" s="139" t="e">
        <f t="shared" si="116"/>
        <v>#NUM!</v>
      </c>
      <c r="J375" s="139" t="e">
        <f t="shared" si="117"/>
        <v>#NUM!</v>
      </c>
      <c r="K375" s="155">
        <f t="shared" si="112"/>
        <v>-1</v>
      </c>
      <c r="N375" s="139">
        <f t="shared" si="118"/>
        <v>0</v>
      </c>
      <c r="O375" s="139">
        <f t="shared" si="119"/>
        <v>1</v>
      </c>
      <c r="P375" s="155"/>
      <c r="Q375" s="186"/>
      <c r="R375" s="186" t="s">
        <v>873</v>
      </c>
      <c r="S375" s="139"/>
      <c r="V375" s="139"/>
    </row>
    <row r="376" spans="1:22">
      <c r="A376" s="186">
        <f t="shared" si="115"/>
        <v>12</v>
      </c>
      <c r="E376" s="141" t="s">
        <v>1829</v>
      </c>
      <c r="F376" s="141" t="s">
        <v>1756</v>
      </c>
      <c r="G376" s="154" t="str">
        <f t="shared" si="113"/>
        <v>12/</v>
      </c>
      <c r="H376" s="141" t="str">
        <f t="shared" si="114"/>
        <v>12/</v>
      </c>
      <c r="I376" s="139" t="e">
        <f t="shared" si="116"/>
        <v>#NUM!</v>
      </c>
      <c r="J376" s="139" t="e">
        <f t="shared" si="117"/>
        <v>#NUM!</v>
      </c>
      <c r="K376" s="155">
        <f t="shared" si="112"/>
        <v>-1</v>
      </c>
      <c r="N376" s="139">
        <f t="shared" si="118"/>
        <v>0</v>
      </c>
      <c r="O376" s="139">
        <f t="shared" si="119"/>
        <v>1</v>
      </c>
      <c r="P376" s="155"/>
      <c r="Q376" s="186"/>
      <c r="R376" s="186" t="s">
        <v>873</v>
      </c>
      <c r="S376" s="139"/>
      <c r="V376" s="139"/>
    </row>
    <row r="377" spans="1:22">
      <c r="A377" s="186">
        <f t="shared" si="115"/>
        <v>12</v>
      </c>
      <c r="E377" s="141" t="s">
        <v>1829</v>
      </c>
      <c r="F377" s="141" t="s">
        <v>1756</v>
      </c>
      <c r="G377" s="154" t="str">
        <f t="shared" si="113"/>
        <v>12/</v>
      </c>
      <c r="H377" s="141" t="str">
        <f t="shared" si="114"/>
        <v>12/</v>
      </c>
      <c r="I377" s="139" t="e">
        <f t="shared" si="116"/>
        <v>#NUM!</v>
      </c>
      <c r="J377" s="139" t="e">
        <f t="shared" si="117"/>
        <v>#NUM!</v>
      </c>
      <c r="K377" s="155">
        <f t="shared" si="112"/>
        <v>-1</v>
      </c>
      <c r="N377" s="139">
        <f t="shared" si="118"/>
        <v>0</v>
      </c>
      <c r="O377" s="139">
        <f t="shared" si="119"/>
        <v>1</v>
      </c>
      <c r="P377" s="155"/>
      <c r="Q377" s="186"/>
      <c r="R377" s="186" t="s">
        <v>873</v>
      </c>
      <c r="S377" s="139"/>
      <c r="V377" s="139"/>
    </row>
    <row r="378" spans="1:22">
      <c r="A378" s="186">
        <f t="shared" si="115"/>
        <v>12</v>
      </c>
      <c r="E378" s="141" t="s">
        <v>1829</v>
      </c>
      <c r="F378" s="141" t="s">
        <v>1756</v>
      </c>
      <c r="G378" s="154" t="str">
        <f t="shared" si="113"/>
        <v>12/</v>
      </c>
      <c r="H378" s="141" t="str">
        <f t="shared" si="114"/>
        <v>12/</v>
      </c>
      <c r="I378" s="139" t="e">
        <f t="shared" si="116"/>
        <v>#NUM!</v>
      </c>
      <c r="J378" s="139" t="e">
        <f t="shared" si="117"/>
        <v>#NUM!</v>
      </c>
      <c r="K378" s="155">
        <f t="shared" ref="K378:K441" si="120">P378-1</f>
        <v>-1</v>
      </c>
      <c r="N378" s="139">
        <f t="shared" si="118"/>
        <v>0</v>
      </c>
      <c r="O378" s="139">
        <f t="shared" si="119"/>
        <v>1</v>
      </c>
      <c r="P378" s="155"/>
      <c r="Q378" s="186"/>
      <c r="R378" s="186" t="s">
        <v>873</v>
      </c>
      <c r="S378" s="139"/>
      <c r="V378" s="139"/>
    </row>
    <row r="379" spans="1:22">
      <c r="A379" s="186">
        <f t="shared" si="115"/>
        <v>12</v>
      </c>
      <c r="E379" s="141" t="s">
        <v>1829</v>
      </c>
      <c r="F379" s="141" t="s">
        <v>1756</v>
      </c>
      <c r="G379" s="154" t="str">
        <f t="shared" si="113"/>
        <v>12/</v>
      </c>
      <c r="H379" s="141" t="str">
        <f t="shared" si="114"/>
        <v>12/</v>
      </c>
      <c r="I379" s="139" t="e">
        <f t="shared" si="116"/>
        <v>#NUM!</v>
      </c>
      <c r="J379" s="139" t="e">
        <f t="shared" si="117"/>
        <v>#NUM!</v>
      </c>
      <c r="K379" s="155">
        <f t="shared" si="120"/>
        <v>-1</v>
      </c>
      <c r="N379" s="139">
        <f t="shared" si="118"/>
        <v>0</v>
      </c>
      <c r="O379" s="139">
        <f t="shared" si="119"/>
        <v>1</v>
      </c>
      <c r="P379" s="155"/>
      <c r="Q379" s="186"/>
      <c r="R379" s="186" t="s">
        <v>873</v>
      </c>
      <c r="S379" s="139"/>
      <c r="V379" s="139"/>
    </row>
    <row r="380" spans="1:22">
      <c r="A380" s="186">
        <f t="shared" si="115"/>
        <v>12</v>
      </c>
      <c r="E380" s="141" t="s">
        <v>1829</v>
      </c>
      <c r="F380" s="141" t="s">
        <v>1756</v>
      </c>
      <c r="G380" s="154" t="str">
        <f t="shared" si="113"/>
        <v>12/</v>
      </c>
      <c r="H380" s="141" t="str">
        <f t="shared" si="114"/>
        <v>12/</v>
      </c>
      <c r="I380" s="139" t="e">
        <f t="shared" si="116"/>
        <v>#NUM!</v>
      </c>
      <c r="J380" s="139" t="e">
        <f t="shared" si="117"/>
        <v>#NUM!</v>
      </c>
      <c r="K380" s="155">
        <f t="shared" si="120"/>
        <v>-1</v>
      </c>
      <c r="N380" s="139">
        <f t="shared" si="118"/>
        <v>0</v>
      </c>
      <c r="O380" s="139">
        <f t="shared" si="119"/>
        <v>1</v>
      </c>
      <c r="P380" s="155"/>
      <c r="Q380" s="186"/>
      <c r="R380" s="186" t="s">
        <v>873</v>
      </c>
      <c r="S380" s="139"/>
      <c r="V380" s="139"/>
    </row>
    <row r="381" spans="1:22">
      <c r="A381" s="186">
        <f t="shared" si="115"/>
        <v>12</v>
      </c>
      <c r="E381" s="141" t="s">
        <v>1829</v>
      </c>
      <c r="F381" s="141" t="s">
        <v>1756</v>
      </c>
      <c r="G381" s="154" t="str">
        <f t="shared" si="113"/>
        <v>12/</v>
      </c>
      <c r="H381" s="141" t="str">
        <f t="shared" si="114"/>
        <v>12/</v>
      </c>
      <c r="I381" s="139" t="e">
        <f t="shared" si="116"/>
        <v>#NUM!</v>
      </c>
      <c r="J381" s="139" t="e">
        <f t="shared" si="117"/>
        <v>#NUM!</v>
      </c>
      <c r="K381" s="155">
        <f t="shared" si="120"/>
        <v>-1</v>
      </c>
      <c r="N381" s="139">
        <f t="shared" si="118"/>
        <v>0</v>
      </c>
      <c r="O381" s="139">
        <f t="shared" si="119"/>
        <v>1</v>
      </c>
      <c r="P381" s="155"/>
      <c r="Q381" s="186"/>
      <c r="R381" s="186" t="s">
        <v>873</v>
      </c>
      <c r="S381" s="139"/>
      <c r="V381" s="139"/>
    </row>
    <row r="382" spans="1:22">
      <c r="A382" s="186">
        <f t="shared" si="115"/>
        <v>12</v>
      </c>
      <c r="E382" s="141" t="s">
        <v>1829</v>
      </c>
      <c r="F382" s="141" t="s">
        <v>1756</v>
      </c>
      <c r="G382" s="154" t="str">
        <f t="shared" si="113"/>
        <v>12/</v>
      </c>
      <c r="H382" s="141" t="str">
        <f t="shared" si="114"/>
        <v>12/</v>
      </c>
      <c r="I382" s="139" t="e">
        <f t="shared" si="116"/>
        <v>#NUM!</v>
      </c>
      <c r="J382" s="139" t="e">
        <f t="shared" si="117"/>
        <v>#NUM!</v>
      </c>
      <c r="K382" s="155">
        <f t="shared" si="120"/>
        <v>-1</v>
      </c>
      <c r="N382" s="139">
        <f t="shared" si="118"/>
        <v>0</v>
      </c>
      <c r="O382" s="139">
        <f t="shared" si="119"/>
        <v>1</v>
      </c>
      <c r="P382" s="155"/>
      <c r="Q382" s="186"/>
      <c r="R382" s="186" t="s">
        <v>873</v>
      </c>
      <c r="S382" s="139"/>
      <c r="V382" s="139"/>
    </row>
    <row r="383" spans="1:22">
      <c r="A383" s="186">
        <f t="shared" si="115"/>
        <v>12</v>
      </c>
      <c r="E383" s="141" t="s">
        <v>1829</v>
      </c>
      <c r="F383" s="141" t="s">
        <v>1756</v>
      </c>
      <c r="G383" s="154" t="str">
        <f t="shared" si="113"/>
        <v>12/</v>
      </c>
      <c r="H383" s="141" t="str">
        <f t="shared" si="114"/>
        <v>12/</v>
      </c>
      <c r="I383" s="139" t="e">
        <f t="shared" si="116"/>
        <v>#NUM!</v>
      </c>
      <c r="J383" s="139" t="e">
        <f t="shared" si="117"/>
        <v>#NUM!</v>
      </c>
      <c r="K383" s="155">
        <f t="shared" si="120"/>
        <v>-1</v>
      </c>
      <c r="N383" s="139">
        <f t="shared" si="118"/>
        <v>0</v>
      </c>
      <c r="O383" s="139">
        <f t="shared" si="119"/>
        <v>1</v>
      </c>
      <c r="P383" s="155"/>
      <c r="Q383" s="186"/>
      <c r="R383" s="186" t="s">
        <v>873</v>
      </c>
      <c r="S383" s="139"/>
      <c r="V383" s="139"/>
    </row>
    <row r="384" spans="1:22">
      <c r="A384" s="186">
        <f t="shared" si="115"/>
        <v>12</v>
      </c>
      <c r="E384" s="141" t="s">
        <v>1829</v>
      </c>
      <c r="F384" s="141" t="s">
        <v>1756</v>
      </c>
      <c r="G384" s="154" t="str">
        <f t="shared" si="113"/>
        <v>12/</v>
      </c>
      <c r="H384" s="141" t="str">
        <f t="shared" si="114"/>
        <v>12/</v>
      </c>
      <c r="I384" s="139" t="e">
        <f t="shared" si="116"/>
        <v>#NUM!</v>
      </c>
      <c r="J384" s="139" t="e">
        <f t="shared" si="117"/>
        <v>#NUM!</v>
      </c>
      <c r="K384" s="155">
        <f t="shared" si="120"/>
        <v>-1</v>
      </c>
      <c r="N384" s="139">
        <f t="shared" si="118"/>
        <v>0</v>
      </c>
      <c r="O384" s="139">
        <f t="shared" si="119"/>
        <v>1</v>
      </c>
      <c r="P384" s="155"/>
      <c r="Q384" s="186"/>
      <c r="R384" s="186" t="s">
        <v>873</v>
      </c>
      <c r="S384" s="139"/>
      <c r="V384" s="139"/>
    </row>
    <row r="385" spans="1:22">
      <c r="A385" s="186">
        <f t="shared" si="115"/>
        <v>12</v>
      </c>
      <c r="E385" s="141" t="s">
        <v>1829</v>
      </c>
      <c r="F385" s="141" t="s">
        <v>1756</v>
      </c>
      <c r="G385" s="154" t="str">
        <f t="shared" ref="G385:G448" si="121">A385&amp;"/"&amp;B385</f>
        <v>12/</v>
      </c>
      <c r="H385" s="141" t="str">
        <f t="shared" ref="H385:H448" si="122">A385&amp;"/"&amp;B385</f>
        <v>12/</v>
      </c>
      <c r="I385" s="139" t="e">
        <f t="shared" si="116"/>
        <v>#NUM!</v>
      </c>
      <c r="J385" s="139" t="e">
        <f t="shared" si="117"/>
        <v>#NUM!</v>
      </c>
      <c r="K385" s="155">
        <f t="shared" si="120"/>
        <v>-1</v>
      </c>
      <c r="N385" s="139">
        <f t="shared" si="118"/>
        <v>0</v>
      </c>
      <c r="O385" s="139">
        <f t="shared" si="119"/>
        <v>1</v>
      </c>
      <c r="P385" s="155"/>
      <c r="Q385" s="186"/>
      <c r="R385" s="186" t="s">
        <v>873</v>
      </c>
      <c r="S385" s="139"/>
      <c r="V385" s="139"/>
    </row>
    <row r="386" spans="1:22">
      <c r="A386" s="186">
        <f t="shared" si="115"/>
        <v>12</v>
      </c>
      <c r="E386" s="141" t="s">
        <v>1829</v>
      </c>
      <c r="F386" s="141" t="s">
        <v>1756</v>
      </c>
      <c r="G386" s="154" t="str">
        <f t="shared" si="121"/>
        <v>12/</v>
      </c>
      <c r="H386" s="141" t="str">
        <f t="shared" si="122"/>
        <v>12/</v>
      </c>
      <c r="I386" s="139" t="e">
        <f t="shared" si="116"/>
        <v>#NUM!</v>
      </c>
      <c r="J386" s="139" t="e">
        <f t="shared" si="117"/>
        <v>#NUM!</v>
      </c>
      <c r="K386" s="155">
        <f t="shared" si="120"/>
        <v>-1</v>
      </c>
      <c r="N386" s="139">
        <f t="shared" si="118"/>
        <v>0</v>
      </c>
      <c r="O386" s="139">
        <f t="shared" si="119"/>
        <v>1</v>
      </c>
      <c r="P386" s="155"/>
      <c r="Q386" s="186"/>
      <c r="R386" s="186" t="s">
        <v>873</v>
      </c>
      <c r="S386" s="139"/>
      <c r="V386" s="139"/>
    </row>
    <row r="387" spans="1:22">
      <c r="A387" s="186">
        <f t="shared" si="115"/>
        <v>12</v>
      </c>
      <c r="E387" s="141" t="s">
        <v>1829</v>
      </c>
      <c r="F387" s="141" t="s">
        <v>1756</v>
      </c>
      <c r="G387" s="154" t="str">
        <f t="shared" si="121"/>
        <v>12/</v>
      </c>
      <c r="H387" s="141" t="str">
        <f t="shared" si="122"/>
        <v>12/</v>
      </c>
      <c r="I387" s="139" t="e">
        <f t="shared" si="116"/>
        <v>#NUM!</v>
      </c>
      <c r="J387" s="139" t="e">
        <f t="shared" si="117"/>
        <v>#NUM!</v>
      </c>
      <c r="K387" s="155">
        <f t="shared" si="120"/>
        <v>-1</v>
      </c>
      <c r="N387" s="139">
        <f t="shared" si="118"/>
        <v>0</v>
      </c>
      <c r="O387" s="139">
        <f t="shared" si="119"/>
        <v>1</v>
      </c>
      <c r="P387" s="155"/>
      <c r="Q387" s="186"/>
      <c r="R387" s="186" t="s">
        <v>873</v>
      </c>
      <c r="S387" s="139"/>
      <c r="V387" s="139"/>
    </row>
    <row r="388" spans="1:22">
      <c r="A388" s="186">
        <f t="shared" si="115"/>
        <v>12</v>
      </c>
      <c r="E388" s="141" t="s">
        <v>1829</v>
      </c>
      <c r="F388" s="141" t="s">
        <v>1756</v>
      </c>
      <c r="G388" s="154" t="str">
        <f t="shared" si="121"/>
        <v>12/</v>
      </c>
      <c r="H388" s="141" t="str">
        <f t="shared" si="122"/>
        <v>12/</v>
      </c>
      <c r="I388" s="139" t="e">
        <f t="shared" si="116"/>
        <v>#NUM!</v>
      </c>
      <c r="J388" s="139" t="e">
        <f t="shared" si="117"/>
        <v>#NUM!</v>
      </c>
      <c r="K388" s="155">
        <f t="shared" si="120"/>
        <v>-1</v>
      </c>
      <c r="N388" s="139">
        <f t="shared" si="118"/>
        <v>0</v>
      </c>
      <c r="O388" s="139">
        <f t="shared" si="119"/>
        <v>1</v>
      </c>
      <c r="P388" s="155"/>
      <c r="Q388" s="186"/>
      <c r="R388" s="186" t="s">
        <v>873</v>
      </c>
      <c r="S388" s="139"/>
      <c r="V388" s="139"/>
    </row>
    <row r="389" spans="1:22">
      <c r="A389" s="186">
        <f t="shared" si="115"/>
        <v>12</v>
      </c>
      <c r="E389" s="141" t="s">
        <v>1829</v>
      </c>
      <c r="F389" s="141" t="s">
        <v>1756</v>
      </c>
      <c r="G389" s="154" t="str">
        <f t="shared" si="121"/>
        <v>12/</v>
      </c>
      <c r="H389" s="141" t="str">
        <f t="shared" si="122"/>
        <v>12/</v>
      </c>
      <c r="I389" s="139" t="e">
        <f t="shared" si="116"/>
        <v>#NUM!</v>
      </c>
      <c r="J389" s="139" t="e">
        <f t="shared" si="117"/>
        <v>#NUM!</v>
      </c>
      <c r="K389" s="155">
        <f t="shared" si="120"/>
        <v>-1</v>
      </c>
      <c r="N389" s="139">
        <f t="shared" si="118"/>
        <v>0</v>
      </c>
      <c r="O389" s="139">
        <f t="shared" si="119"/>
        <v>1</v>
      </c>
      <c r="P389" s="155"/>
      <c r="Q389" s="186"/>
      <c r="R389" s="186" t="s">
        <v>873</v>
      </c>
      <c r="S389" s="139"/>
      <c r="V389" s="139"/>
    </row>
    <row r="390" spans="1:22">
      <c r="A390" s="186">
        <f t="shared" si="115"/>
        <v>12</v>
      </c>
      <c r="E390" s="141" t="s">
        <v>1829</v>
      </c>
      <c r="F390" s="141" t="s">
        <v>1756</v>
      </c>
      <c r="G390" s="154" t="str">
        <f t="shared" si="121"/>
        <v>12/</v>
      </c>
      <c r="H390" s="141" t="str">
        <f t="shared" si="122"/>
        <v>12/</v>
      </c>
      <c r="I390" s="139" t="e">
        <f t="shared" si="116"/>
        <v>#NUM!</v>
      </c>
      <c r="J390" s="139" t="e">
        <f t="shared" si="117"/>
        <v>#NUM!</v>
      </c>
      <c r="K390" s="155">
        <f t="shared" si="120"/>
        <v>-1</v>
      </c>
      <c r="N390" s="139">
        <f t="shared" si="118"/>
        <v>0</v>
      </c>
      <c r="O390" s="139">
        <f t="shared" si="119"/>
        <v>1</v>
      </c>
      <c r="P390" s="155"/>
      <c r="Q390" s="186"/>
      <c r="R390" s="186" t="s">
        <v>873</v>
      </c>
      <c r="S390" s="139"/>
      <c r="V390" s="139"/>
    </row>
    <row r="391" spans="1:22">
      <c r="A391" s="186">
        <f t="shared" si="115"/>
        <v>12</v>
      </c>
      <c r="E391" s="141" t="s">
        <v>1829</v>
      </c>
      <c r="F391" s="141" t="s">
        <v>1756</v>
      </c>
      <c r="G391" s="154" t="str">
        <f t="shared" si="121"/>
        <v>12/</v>
      </c>
      <c r="H391" s="141" t="str">
        <f t="shared" si="122"/>
        <v>12/</v>
      </c>
      <c r="I391" s="139" t="e">
        <f t="shared" si="116"/>
        <v>#NUM!</v>
      </c>
      <c r="J391" s="139" t="e">
        <f t="shared" si="117"/>
        <v>#NUM!</v>
      </c>
      <c r="K391" s="155">
        <f t="shared" si="120"/>
        <v>-1</v>
      </c>
      <c r="N391" s="139">
        <f t="shared" si="118"/>
        <v>0</v>
      </c>
      <c r="O391" s="139">
        <f t="shared" si="119"/>
        <v>1</v>
      </c>
      <c r="P391" s="155"/>
      <c r="Q391" s="186"/>
      <c r="R391" s="186" t="s">
        <v>873</v>
      </c>
      <c r="S391" s="139"/>
      <c r="V391" s="139"/>
    </row>
    <row r="392" spans="1:22">
      <c r="A392" s="186">
        <f t="shared" si="115"/>
        <v>12</v>
      </c>
      <c r="E392" s="141" t="s">
        <v>1829</v>
      </c>
      <c r="F392" s="141" t="s">
        <v>1756</v>
      </c>
      <c r="G392" s="154" t="str">
        <f t="shared" si="121"/>
        <v>12/</v>
      </c>
      <c r="H392" s="141" t="str">
        <f t="shared" si="122"/>
        <v>12/</v>
      </c>
      <c r="I392" s="139" t="e">
        <f t="shared" si="116"/>
        <v>#NUM!</v>
      </c>
      <c r="J392" s="139" t="e">
        <f t="shared" si="117"/>
        <v>#NUM!</v>
      </c>
      <c r="K392" s="155">
        <f t="shared" si="120"/>
        <v>-1</v>
      </c>
      <c r="N392" s="139">
        <f t="shared" si="118"/>
        <v>0</v>
      </c>
      <c r="O392" s="139">
        <f t="shared" si="119"/>
        <v>1</v>
      </c>
      <c r="P392" s="155"/>
      <c r="Q392" s="186"/>
      <c r="R392" s="186" t="s">
        <v>873</v>
      </c>
      <c r="S392" s="139"/>
      <c r="V392" s="139"/>
    </row>
    <row r="393" spans="1:22">
      <c r="A393" s="186">
        <f t="shared" si="115"/>
        <v>12</v>
      </c>
      <c r="E393" s="141" t="s">
        <v>1829</v>
      </c>
      <c r="F393" s="141" t="s">
        <v>1756</v>
      </c>
      <c r="G393" s="154" t="str">
        <f t="shared" si="121"/>
        <v>12/</v>
      </c>
      <c r="H393" s="141" t="str">
        <f t="shared" si="122"/>
        <v>12/</v>
      </c>
      <c r="I393" s="139" t="e">
        <f t="shared" si="116"/>
        <v>#NUM!</v>
      </c>
      <c r="J393" s="139" t="e">
        <f t="shared" si="117"/>
        <v>#NUM!</v>
      </c>
      <c r="K393" s="155">
        <f t="shared" si="120"/>
        <v>-1</v>
      </c>
      <c r="N393" s="139">
        <f t="shared" si="118"/>
        <v>0</v>
      </c>
      <c r="O393" s="139">
        <f t="shared" si="119"/>
        <v>1</v>
      </c>
      <c r="P393" s="155"/>
      <c r="Q393" s="186"/>
      <c r="R393" s="186" t="s">
        <v>873</v>
      </c>
      <c r="S393" s="139"/>
      <c r="V393" s="139"/>
    </row>
    <row r="394" spans="1:22">
      <c r="A394" s="186">
        <f t="shared" si="115"/>
        <v>12</v>
      </c>
      <c r="E394" s="141" t="s">
        <v>1829</v>
      </c>
      <c r="F394" s="141" t="s">
        <v>1756</v>
      </c>
      <c r="G394" s="154" t="str">
        <f t="shared" si="121"/>
        <v>12/</v>
      </c>
      <c r="H394" s="141" t="str">
        <f t="shared" si="122"/>
        <v>12/</v>
      </c>
      <c r="I394" s="139" t="e">
        <f t="shared" si="116"/>
        <v>#NUM!</v>
      </c>
      <c r="J394" s="139" t="e">
        <f t="shared" si="117"/>
        <v>#NUM!</v>
      </c>
      <c r="K394" s="155">
        <f t="shared" si="120"/>
        <v>-1</v>
      </c>
      <c r="N394" s="139">
        <f t="shared" si="118"/>
        <v>0</v>
      </c>
      <c r="O394" s="139">
        <f t="shared" si="119"/>
        <v>1</v>
      </c>
      <c r="P394" s="155"/>
      <c r="Q394" s="186"/>
      <c r="R394" s="186" t="s">
        <v>873</v>
      </c>
      <c r="S394" s="139"/>
      <c r="V394" s="139"/>
    </row>
    <row r="395" spans="1:22">
      <c r="A395" s="186">
        <f t="shared" si="115"/>
        <v>12</v>
      </c>
      <c r="E395" s="141" t="s">
        <v>1829</v>
      </c>
      <c r="F395" s="141" t="s">
        <v>1756</v>
      </c>
      <c r="G395" s="154" t="str">
        <f t="shared" si="121"/>
        <v>12/</v>
      </c>
      <c r="H395" s="141" t="str">
        <f t="shared" si="122"/>
        <v>12/</v>
      </c>
      <c r="I395" s="139" t="e">
        <f t="shared" si="116"/>
        <v>#NUM!</v>
      </c>
      <c r="J395" s="139" t="e">
        <f t="shared" si="117"/>
        <v>#NUM!</v>
      </c>
      <c r="K395" s="155">
        <f t="shared" si="120"/>
        <v>-1</v>
      </c>
      <c r="N395" s="139">
        <f t="shared" si="118"/>
        <v>0</v>
      </c>
      <c r="O395" s="139">
        <f t="shared" si="119"/>
        <v>1</v>
      </c>
      <c r="P395" s="155"/>
      <c r="Q395" s="186"/>
      <c r="R395" s="186" t="s">
        <v>873</v>
      </c>
      <c r="S395" s="139"/>
      <c r="V395" s="139"/>
    </row>
    <row r="396" spans="1:22">
      <c r="A396" s="186">
        <f t="shared" si="115"/>
        <v>12</v>
      </c>
      <c r="E396" s="141" t="s">
        <v>1829</v>
      </c>
      <c r="F396" s="141" t="s">
        <v>1756</v>
      </c>
      <c r="G396" s="154" t="str">
        <f t="shared" si="121"/>
        <v>12/</v>
      </c>
      <c r="H396" s="141" t="str">
        <f t="shared" si="122"/>
        <v>12/</v>
      </c>
      <c r="I396" s="139" t="e">
        <f t="shared" si="116"/>
        <v>#NUM!</v>
      </c>
      <c r="J396" s="139" t="e">
        <f t="shared" si="117"/>
        <v>#NUM!</v>
      </c>
      <c r="K396" s="155">
        <f t="shared" si="120"/>
        <v>-1</v>
      </c>
      <c r="N396" s="139">
        <f t="shared" si="118"/>
        <v>0</v>
      </c>
      <c r="O396" s="139">
        <f t="shared" si="119"/>
        <v>1</v>
      </c>
      <c r="P396" s="155"/>
      <c r="Q396" s="186"/>
      <c r="R396" s="186" t="s">
        <v>873</v>
      </c>
      <c r="S396" s="139"/>
      <c r="V396" s="139"/>
    </row>
    <row r="397" spans="1:22">
      <c r="A397" s="186">
        <f t="shared" si="115"/>
        <v>12</v>
      </c>
      <c r="E397" s="141" t="s">
        <v>1829</v>
      </c>
      <c r="F397" s="141" t="s">
        <v>1756</v>
      </c>
      <c r="G397" s="154" t="str">
        <f t="shared" si="121"/>
        <v>12/</v>
      </c>
      <c r="H397" s="141" t="str">
        <f t="shared" si="122"/>
        <v>12/</v>
      </c>
      <c r="I397" s="139" t="e">
        <f t="shared" si="116"/>
        <v>#NUM!</v>
      </c>
      <c r="J397" s="139" t="e">
        <f t="shared" si="117"/>
        <v>#NUM!</v>
      </c>
      <c r="K397" s="155">
        <f t="shared" si="120"/>
        <v>-1</v>
      </c>
      <c r="N397" s="139">
        <f t="shared" si="118"/>
        <v>0</v>
      </c>
      <c r="O397" s="139">
        <f t="shared" si="119"/>
        <v>1</v>
      </c>
      <c r="P397" s="155"/>
      <c r="Q397" s="186"/>
      <c r="R397" s="186" t="s">
        <v>873</v>
      </c>
      <c r="S397" s="139"/>
      <c r="V397" s="139"/>
    </row>
    <row r="398" spans="1:22">
      <c r="A398" s="186">
        <f t="shared" si="115"/>
        <v>12</v>
      </c>
      <c r="E398" s="141" t="s">
        <v>1829</v>
      </c>
      <c r="F398" s="141" t="s">
        <v>1756</v>
      </c>
      <c r="G398" s="154" t="str">
        <f t="shared" si="121"/>
        <v>12/</v>
      </c>
      <c r="H398" s="141" t="str">
        <f t="shared" si="122"/>
        <v>12/</v>
      </c>
      <c r="I398" s="139" t="e">
        <f t="shared" si="116"/>
        <v>#NUM!</v>
      </c>
      <c r="J398" s="139" t="e">
        <f t="shared" si="117"/>
        <v>#NUM!</v>
      </c>
      <c r="K398" s="155">
        <f t="shared" si="120"/>
        <v>-1</v>
      </c>
      <c r="N398" s="139">
        <f t="shared" si="118"/>
        <v>0</v>
      </c>
      <c r="O398" s="139">
        <f t="shared" si="119"/>
        <v>1</v>
      </c>
      <c r="P398" s="155"/>
      <c r="Q398" s="186"/>
      <c r="R398" s="186" t="s">
        <v>873</v>
      </c>
      <c r="S398" s="139"/>
      <c r="V398" s="139"/>
    </row>
    <row r="399" spans="1:22">
      <c r="A399" s="186">
        <f t="shared" si="115"/>
        <v>12</v>
      </c>
      <c r="E399" s="141" t="s">
        <v>1829</v>
      </c>
      <c r="F399" s="141" t="s">
        <v>1756</v>
      </c>
      <c r="G399" s="154" t="str">
        <f t="shared" si="121"/>
        <v>12/</v>
      </c>
      <c r="H399" s="141" t="str">
        <f t="shared" si="122"/>
        <v>12/</v>
      </c>
      <c r="I399" s="139" t="e">
        <f t="shared" si="116"/>
        <v>#NUM!</v>
      </c>
      <c r="J399" s="139" t="e">
        <f t="shared" si="117"/>
        <v>#NUM!</v>
      </c>
      <c r="K399" s="155">
        <f t="shared" si="120"/>
        <v>-1</v>
      </c>
      <c r="N399" s="139">
        <f t="shared" si="118"/>
        <v>0</v>
      </c>
      <c r="O399" s="139">
        <f t="shared" si="119"/>
        <v>1</v>
      </c>
      <c r="P399" s="155"/>
      <c r="Q399" s="186"/>
      <c r="R399" s="186" t="s">
        <v>873</v>
      </c>
      <c r="S399" s="139"/>
      <c r="V399" s="139"/>
    </row>
    <row r="400" spans="1:22">
      <c r="A400" s="186">
        <f t="shared" si="115"/>
        <v>12</v>
      </c>
      <c r="E400" s="141" t="s">
        <v>1829</v>
      </c>
      <c r="F400" s="141" t="s">
        <v>1756</v>
      </c>
      <c r="G400" s="154" t="str">
        <f t="shared" si="121"/>
        <v>12/</v>
      </c>
      <c r="H400" s="141" t="str">
        <f t="shared" si="122"/>
        <v>12/</v>
      </c>
      <c r="I400" s="139" t="e">
        <f t="shared" si="116"/>
        <v>#NUM!</v>
      </c>
      <c r="J400" s="139" t="e">
        <f t="shared" si="117"/>
        <v>#NUM!</v>
      </c>
      <c r="K400" s="155">
        <f t="shared" si="120"/>
        <v>-1</v>
      </c>
      <c r="N400" s="139">
        <f t="shared" si="118"/>
        <v>0</v>
      </c>
      <c r="O400" s="139">
        <f t="shared" si="119"/>
        <v>1</v>
      </c>
      <c r="P400" s="155"/>
      <c r="Q400" s="186"/>
      <c r="R400" s="186" t="s">
        <v>873</v>
      </c>
      <c r="S400" s="139"/>
      <c r="V400" s="139"/>
    </row>
    <row r="401" spans="1:22">
      <c r="A401" s="186">
        <f t="shared" si="115"/>
        <v>12</v>
      </c>
      <c r="E401" s="141" t="s">
        <v>1829</v>
      </c>
      <c r="F401" s="141" t="s">
        <v>1756</v>
      </c>
      <c r="G401" s="154" t="str">
        <f t="shared" si="121"/>
        <v>12/</v>
      </c>
      <c r="H401" s="141" t="str">
        <f t="shared" si="122"/>
        <v>12/</v>
      </c>
      <c r="I401" s="139" t="e">
        <f t="shared" si="116"/>
        <v>#NUM!</v>
      </c>
      <c r="J401" s="139" t="e">
        <f t="shared" si="117"/>
        <v>#NUM!</v>
      </c>
      <c r="K401" s="155">
        <f t="shared" si="120"/>
        <v>-1</v>
      </c>
      <c r="N401" s="139">
        <f t="shared" si="118"/>
        <v>0</v>
      </c>
      <c r="O401" s="139">
        <f t="shared" si="119"/>
        <v>1</v>
      </c>
      <c r="P401" s="155"/>
      <c r="Q401" s="186"/>
      <c r="R401" s="186" t="s">
        <v>873</v>
      </c>
      <c r="S401" s="139"/>
      <c r="V401" s="139"/>
    </row>
    <row r="402" spans="1:22">
      <c r="A402" s="186">
        <f t="shared" si="115"/>
        <v>12</v>
      </c>
      <c r="E402" s="141" t="s">
        <v>1829</v>
      </c>
      <c r="F402" s="141" t="s">
        <v>1756</v>
      </c>
      <c r="G402" s="154" t="str">
        <f t="shared" si="121"/>
        <v>12/</v>
      </c>
      <c r="H402" s="141" t="str">
        <f t="shared" si="122"/>
        <v>12/</v>
      </c>
      <c r="I402" s="139" t="e">
        <f t="shared" si="116"/>
        <v>#NUM!</v>
      </c>
      <c r="J402" s="139" t="e">
        <f t="shared" si="117"/>
        <v>#NUM!</v>
      </c>
      <c r="K402" s="155">
        <f t="shared" si="120"/>
        <v>-1</v>
      </c>
      <c r="N402" s="139">
        <f t="shared" si="118"/>
        <v>0</v>
      </c>
      <c r="O402" s="139">
        <f t="shared" si="119"/>
        <v>1</v>
      </c>
      <c r="P402" s="155"/>
      <c r="Q402" s="186"/>
      <c r="R402" s="186" t="s">
        <v>873</v>
      </c>
      <c r="S402" s="139"/>
      <c r="V402" s="139"/>
    </row>
    <row r="403" spans="1:22">
      <c r="A403" s="186">
        <f t="shared" si="115"/>
        <v>12</v>
      </c>
      <c r="E403" s="141" t="s">
        <v>1829</v>
      </c>
      <c r="F403" s="141" t="s">
        <v>1756</v>
      </c>
      <c r="G403" s="154" t="str">
        <f t="shared" si="121"/>
        <v>12/</v>
      </c>
      <c r="H403" s="141" t="str">
        <f t="shared" si="122"/>
        <v>12/</v>
      </c>
      <c r="I403" s="139" t="e">
        <f t="shared" si="116"/>
        <v>#NUM!</v>
      </c>
      <c r="J403" s="139" t="e">
        <f t="shared" si="117"/>
        <v>#NUM!</v>
      </c>
      <c r="K403" s="155">
        <f t="shared" si="120"/>
        <v>-1</v>
      </c>
      <c r="N403" s="139">
        <f t="shared" si="118"/>
        <v>0</v>
      </c>
      <c r="O403" s="139">
        <f t="shared" si="119"/>
        <v>1</v>
      </c>
      <c r="P403" s="155"/>
      <c r="Q403" s="186"/>
      <c r="R403" s="186" t="s">
        <v>873</v>
      </c>
      <c r="S403" s="139"/>
      <c r="V403" s="139"/>
    </row>
    <row r="404" spans="1:22">
      <c r="A404" s="186">
        <f t="shared" si="115"/>
        <v>12</v>
      </c>
      <c r="E404" s="141" t="s">
        <v>1829</v>
      </c>
      <c r="F404" s="141" t="s">
        <v>1756</v>
      </c>
      <c r="G404" s="154" t="str">
        <f t="shared" si="121"/>
        <v>12/</v>
      </c>
      <c r="H404" s="141" t="str">
        <f t="shared" si="122"/>
        <v>12/</v>
      </c>
      <c r="I404" s="139" t="e">
        <f t="shared" si="116"/>
        <v>#NUM!</v>
      </c>
      <c r="J404" s="139" t="e">
        <f t="shared" si="117"/>
        <v>#NUM!</v>
      </c>
      <c r="K404" s="155">
        <f t="shared" si="120"/>
        <v>-1</v>
      </c>
      <c r="N404" s="139">
        <f t="shared" si="118"/>
        <v>0</v>
      </c>
      <c r="O404" s="139">
        <f t="shared" si="119"/>
        <v>1</v>
      </c>
      <c r="P404" s="155"/>
      <c r="Q404" s="186"/>
      <c r="R404" s="186" t="s">
        <v>873</v>
      </c>
      <c r="S404" s="139"/>
      <c r="V404" s="139"/>
    </row>
    <row r="405" spans="1:22">
      <c r="A405" s="186">
        <f t="shared" si="115"/>
        <v>12</v>
      </c>
      <c r="E405" s="141" t="s">
        <v>1829</v>
      </c>
      <c r="F405" s="141" t="s">
        <v>1756</v>
      </c>
      <c r="G405" s="154" t="str">
        <f t="shared" si="121"/>
        <v>12/</v>
      </c>
      <c r="H405" s="141" t="str">
        <f t="shared" si="122"/>
        <v>12/</v>
      </c>
      <c r="I405" s="139" t="e">
        <f t="shared" si="116"/>
        <v>#NUM!</v>
      </c>
      <c r="J405" s="139" t="e">
        <f t="shared" si="117"/>
        <v>#NUM!</v>
      </c>
      <c r="K405" s="155">
        <f t="shared" si="120"/>
        <v>-1</v>
      </c>
      <c r="N405" s="139">
        <f t="shared" si="118"/>
        <v>0</v>
      </c>
      <c r="O405" s="139">
        <f t="shared" si="119"/>
        <v>1</v>
      </c>
      <c r="P405" s="155"/>
      <c r="Q405" s="186"/>
      <c r="R405" s="186" t="s">
        <v>873</v>
      </c>
      <c r="S405" s="139"/>
      <c r="V405" s="139"/>
    </row>
    <row r="406" spans="1:22">
      <c r="A406" s="186">
        <f t="shared" si="115"/>
        <v>12</v>
      </c>
      <c r="E406" s="141" t="s">
        <v>1829</v>
      </c>
      <c r="F406" s="141" t="s">
        <v>1756</v>
      </c>
      <c r="G406" s="154" t="str">
        <f t="shared" si="121"/>
        <v>12/</v>
      </c>
      <c r="H406" s="141" t="str">
        <f t="shared" si="122"/>
        <v>12/</v>
      </c>
      <c r="I406" s="139" t="e">
        <f t="shared" si="116"/>
        <v>#NUM!</v>
      </c>
      <c r="J406" s="139" t="e">
        <f t="shared" si="117"/>
        <v>#NUM!</v>
      </c>
      <c r="K406" s="155">
        <f t="shared" si="120"/>
        <v>-1</v>
      </c>
      <c r="N406" s="139">
        <f t="shared" si="118"/>
        <v>0</v>
      </c>
      <c r="O406" s="139">
        <f t="shared" si="119"/>
        <v>1</v>
      </c>
      <c r="P406" s="155"/>
      <c r="Q406" s="186"/>
      <c r="R406" s="186" t="s">
        <v>873</v>
      </c>
      <c r="S406" s="139"/>
      <c r="V406" s="139"/>
    </row>
    <row r="407" spans="1:22">
      <c r="A407" s="186">
        <f t="shared" si="115"/>
        <v>12</v>
      </c>
      <c r="E407" s="141" t="s">
        <v>1829</v>
      </c>
      <c r="F407" s="141" t="s">
        <v>1756</v>
      </c>
      <c r="G407" s="154" t="str">
        <f t="shared" si="121"/>
        <v>12/</v>
      </c>
      <c r="H407" s="141" t="str">
        <f t="shared" si="122"/>
        <v>12/</v>
      </c>
      <c r="I407" s="139" t="e">
        <f t="shared" si="116"/>
        <v>#NUM!</v>
      </c>
      <c r="J407" s="139" t="e">
        <f t="shared" si="117"/>
        <v>#NUM!</v>
      </c>
      <c r="K407" s="155">
        <f t="shared" si="120"/>
        <v>-1</v>
      </c>
      <c r="N407" s="139">
        <f t="shared" si="118"/>
        <v>0</v>
      </c>
      <c r="O407" s="139">
        <f t="shared" si="119"/>
        <v>1</v>
      </c>
      <c r="P407" s="155"/>
      <c r="Q407" s="186"/>
      <c r="R407" s="186" t="s">
        <v>873</v>
      </c>
      <c r="S407" s="139"/>
      <c r="V407" s="139"/>
    </row>
    <row r="408" spans="1:22">
      <c r="A408" s="186">
        <f t="shared" si="115"/>
        <v>12</v>
      </c>
      <c r="E408" s="141" t="s">
        <v>1829</v>
      </c>
      <c r="F408" s="141" t="s">
        <v>1756</v>
      </c>
      <c r="G408" s="154" t="str">
        <f t="shared" si="121"/>
        <v>12/</v>
      </c>
      <c r="H408" s="141" t="str">
        <f t="shared" si="122"/>
        <v>12/</v>
      </c>
      <c r="I408" s="139" t="e">
        <f t="shared" si="116"/>
        <v>#NUM!</v>
      </c>
      <c r="J408" s="139" t="e">
        <f t="shared" si="117"/>
        <v>#NUM!</v>
      </c>
      <c r="K408" s="155">
        <f t="shared" si="120"/>
        <v>-1</v>
      </c>
      <c r="N408" s="139">
        <f t="shared" si="118"/>
        <v>0</v>
      </c>
      <c r="O408" s="139">
        <f t="shared" si="119"/>
        <v>1</v>
      </c>
      <c r="P408" s="155"/>
      <c r="Q408" s="186"/>
      <c r="R408" s="186" t="s">
        <v>873</v>
      </c>
      <c r="S408" s="139"/>
      <c r="V408" s="139"/>
    </row>
    <row r="409" spans="1:22">
      <c r="A409" s="186">
        <f t="shared" si="115"/>
        <v>12</v>
      </c>
      <c r="E409" s="141" t="s">
        <v>1829</v>
      </c>
      <c r="F409" s="141" t="s">
        <v>1756</v>
      </c>
      <c r="G409" s="154" t="str">
        <f t="shared" si="121"/>
        <v>12/</v>
      </c>
      <c r="H409" s="141" t="str">
        <f t="shared" si="122"/>
        <v>12/</v>
      </c>
      <c r="I409" s="139" t="e">
        <f t="shared" si="116"/>
        <v>#NUM!</v>
      </c>
      <c r="J409" s="139" t="e">
        <f t="shared" si="117"/>
        <v>#NUM!</v>
      </c>
      <c r="K409" s="155">
        <f t="shared" si="120"/>
        <v>-1</v>
      </c>
      <c r="N409" s="139">
        <f t="shared" si="118"/>
        <v>0</v>
      </c>
      <c r="O409" s="139">
        <f t="shared" si="119"/>
        <v>1</v>
      </c>
      <c r="P409" s="155"/>
      <c r="Q409" s="186"/>
      <c r="R409" s="186" t="s">
        <v>873</v>
      </c>
      <c r="S409" s="139"/>
      <c r="V409" s="139"/>
    </row>
    <row r="410" spans="1:22">
      <c r="A410" s="186">
        <f t="shared" si="115"/>
        <v>12</v>
      </c>
      <c r="E410" s="141" t="s">
        <v>1829</v>
      </c>
      <c r="F410" s="141" t="s">
        <v>1756</v>
      </c>
      <c r="G410" s="154" t="str">
        <f t="shared" si="121"/>
        <v>12/</v>
      </c>
      <c r="H410" s="141" t="str">
        <f t="shared" si="122"/>
        <v>12/</v>
      </c>
      <c r="I410" s="139" t="e">
        <f t="shared" si="116"/>
        <v>#NUM!</v>
      </c>
      <c r="J410" s="139" t="e">
        <f t="shared" si="117"/>
        <v>#NUM!</v>
      </c>
      <c r="K410" s="155">
        <f t="shared" si="120"/>
        <v>-1</v>
      </c>
      <c r="N410" s="139">
        <f t="shared" si="118"/>
        <v>0</v>
      </c>
      <c r="O410" s="139">
        <f t="shared" si="119"/>
        <v>1</v>
      </c>
      <c r="P410" s="155"/>
      <c r="Q410" s="186"/>
      <c r="R410" s="186" t="s">
        <v>873</v>
      </c>
      <c r="S410" s="139"/>
      <c r="V410" s="139"/>
    </row>
    <row r="411" spans="1:22">
      <c r="A411" s="186">
        <f t="shared" si="115"/>
        <v>12</v>
      </c>
      <c r="E411" s="141" t="s">
        <v>1829</v>
      </c>
      <c r="F411" s="141" t="s">
        <v>1756</v>
      </c>
      <c r="G411" s="154" t="str">
        <f t="shared" si="121"/>
        <v>12/</v>
      </c>
      <c r="H411" s="141" t="str">
        <f t="shared" si="122"/>
        <v>12/</v>
      </c>
      <c r="I411" s="139" t="e">
        <f t="shared" si="116"/>
        <v>#NUM!</v>
      </c>
      <c r="J411" s="139" t="e">
        <f t="shared" si="117"/>
        <v>#NUM!</v>
      </c>
      <c r="K411" s="155">
        <f t="shared" si="120"/>
        <v>-1</v>
      </c>
      <c r="N411" s="139">
        <f t="shared" si="118"/>
        <v>0</v>
      </c>
      <c r="O411" s="139">
        <f t="shared" si="119"/>
        <v>1</v>
      </c>
      <c r="P411" s="155"/>
      <c r="Q411" s="186"/>
      <c r="R411" s="186" t="s">
        <v>873</v>
      </c>
      <c r="S411" s="139"/>
      <c r="V411" s="139"/>
    </row>
    <row r="412" spans="1:22">
      <c r="A412" s="186">
        <f t="shared" si="115"/>
        <v>12</v>
      </c>
      <c r="E412" s="141" t="s">
        <v>1829</v>
      </c>
      <c r="F412" s="141" t="s">
        <v>1756</v>
      </c>
      <c r="G412" s="154" t="str">
        <f t="shared" si="121"/>
        <v>12/</v>
      </c>
      <c r="H412" s="141" t="str">
        <f t="shared" si="122"/>
        <v>12/</v>
      </c>
      <c r="I412" s="139" t="e">
        <f t="shared" si="116"/>
        <v>#NUM!</v>
      </c>
      <c r="J412" s="139" t="e">
        <f t="shared" si="117"/>
        <v>#NUM!</v>
      </c>
      <c r="K412" s="155">
        <f t="shared" si="120"/>
        <v>-1</v>
      </c>
      <c r="N412" s="139">
        <f t="shared" si="118"/>
        <v>0</v>
      </c>
      <c r="O412" s="139">
        <f t="shared" si="119"/>
        <v>1</v>
      </c>
      <c r="P412" s="155"/>
      <c r="Q412" s="186"/>
      <c r="R412" s="186" t="s">
        <v>873</v>
      </c>
      <c r="S412" s="139"/>
      <c r="V412" s="139"/>
    </row>
    <row r="413" spans="1:22">
      <c r="A413" s="186">
        <f t="shared" si="115"/>
        <v>12</v>
      </c>
      <c r="E413" s="141" t="s">
        <v>1829</v>
      </c>
      <c r="F413" s="141" t="s">
        <v>1756</v>
      </c>
      <c r="G413" s="154" t="str">
        <f t="shared" si="121"/>
        <v>12/</v>
      </c>
      <c r="H413" s="141" t="str">
        <f t="shared" si="122"/>
        <v>12/</v>
      </c>
      <c r="I413" s="139" t="e">
        <f t="shared" si="116"/>
        <v>#NUM!</v>
      </c>
      <c r="J413" s="139" t="e">
        <f t="shared" si="117"/>
        <v>#NUM!</v>
      </c>
      <c r="K413" s="155">
        <f t="shared" si="120"/>
        <v>-1</v>
      </c>
      <c r="N413" s="139">
        <f t="shared" si="118"/>
        <v>0</v>
      </c>
      <c r="O413" s="139">
        <f t="shared" si="119"/>
        <v>1</v>
      </c>
      <c r="P413" s="155"/>
      <c r="Q413" s="186"/>
      <c r="R413" s="186" t="s">
        <v>873</v>
      </c>
      <c r="S413" s="139"/>
      <c r="V413" s="139"/>
    </row>
    <row r="414" spans="1:22">
      <c r="A414" s="186">
        <f t="shared" si="115"/>
        <v>12</v>
      </c>
      <c r="E414" s="141" t="s">
        <v>1829</v>
      </c>
      <c r="F414" s="141" t="s">
        <v>1756</v>
      </c>
      <c r="G414" s="154" t="str">
        <f t="shared" si="121"/>
        <v>12/</v>
      </c>
      <c r="H414" s="141" t="str">
        <f t="shared" si="122"/>
        <v>12/</v>
      </c>
      <c r="I414" s="139" t="e">
        <f t="shared" si="116"/>
        <v>#NUM!</v>
      </c>
      <c r="J414" s="139" t="e">
        <f t="shared" si="117"/>
        <v>#NUM!</v>
      </c>
      <c r="K414" s="155">
        <f t="shared" si="120"/>
        <v>-1</v>
      </c>
      <c r="N414" s="139">
        <f t="shared" si="118"/>
        <v>0</v>
      </c>
      <c r="O414" s="139">
        <f t="shared" si="119"/>
        <v>1</v>
      </c>
      <c r="P414" s="155"/>
      <c r="Q414" s="186"/>
      <c r="R414" s="186" t="s">
        <v>873</v>
      </c>
      <c r="S414" s="139"/>
      <c r="V414" s="139"/>
    </row>
    <row r="415" spans="1:22">
      <c r="A415" s="186">
        <f t="shared" si="115"/>
        <v>12</v>
      </c>
      <c r="E415" s="141" t="s">
        <v>1829</v>
      </c>
      <c r="F415" s="141" t="s">
        <v>1756</v>
      </c>
      <c r="G415" s="154" t="str">
        <f t="shared" si="121"/>
        <v>12/</v>
      </c>
      <c r="H415" s="141" t="str">
        <f t="shared" si="122"/>
        <v>12/</v>
      </c>
      <c r="I415" s="139" t="e">
        <f t="shared" si="116"/>
        <v>#NUM!</v>
      </c>
      <c r="J415" s="139" t="e">
        <f t="shared" si="117"/>
        <v>#NUM!</v>
      </c>
      <c r="K415" s="155">
        <f t="shared" si="120"/>
        <v>-1</v>
      </c>
      <c r="N415" s="139">
        <f t="shared" si="118"/>
        <v>0</v>
      </c>
      <c r="O415" s="139">
        <f t="shared" si="119"/>
        <v>1</v>
      </c>
      <c r="P415" s="155"/>
      <c r="Q415" s="186"/>
      <c r="R415" s="186" t="s">
        <v>873</v>
      </c>
      <c r="S415" s="139"/>
      <c r="V415" s="139"/>
    </row>
    <row r="416" spans="1:22">
      <c r="A416" s="186">
        <f t="shared" si="115"/>
        <v>12</v>
      </c>
      <c r="E416" s="141" t="s">
        <v>1829</v>
      </c>
      <c r="F416" s="141" t="s">
        <v>1756</v>
      </c>
      <c r="G416" s="154" t="str">
        <f t="shared" si="121"/>
        <v>12/</v>
      </c>
      <c r="H416" s="141" t="str">
        <f t="shared" si="122"/>
        <v>12/</v>
      </c>
      <c r="I416" s="139" t="e">
        <f t="shared" si="116"/>
        <v>#NUM!</v>
      </c>
      <c r="J416" s="139" t="e">
        <f t="shared" si="117"/>
        <v>#NUM!</v>
      </c>
      <c r="K416" s="155">
        <f t="shared" si="120"/>
        <v>-1</v>
      </c>
      <c r="N416" s="139">
        <f t="shared" si="118"/>
        <v>0</v>
      </c>
      <c r="O416" s="139">
        <f t="shared" si="119"/>
        <v>1</v>
      </c>
      <c r="P416" s="155"/>
      <c r="Q416" s="186"/>
      <c r="R416" s="186" t="s">
        <v>873</v>
      </c>
      <c r="S416" s="139"/>
      <c r="V416" s="139"/>
    </row>
    <row r="417" spans="1:22">
      <c r="A417" s="186">
        <f t="shared" si="115"/>
        <v>12</v>
      </c>
      <c r="E417" s="141" t="s">
        <v>1829</v>
      </c>
      <c r="F417" s="141" t="s">
        <v>1756</v>
      </c>
      <c r="G417" s="154" t="str">
        <f t="shared" si="121"/>
        <v>12/</v>
      </c>
      <c r="H417" s="141" t="str">
        <f t="shared" si="122"/>
        <v>12/</v>
      </c>
      <c r="I417" s="139" t="e">
        <f t="shared" si="116"/>
        <v>#NUM!</v>
      </c>
      <c r="J417" s="139" t="e">
        <f t="shared" si="117"/>
        <v>#NUM!</v>
      </c>
      <c r="K417" s="155">
        <f t="shared" si="120"/>
        <v>-1</v>
      </c>
      <c r="N417" s="139">
        <f t="shared" si="118"/>
        <v>0</v>
      </c>
      <c r="O417" s="139">
        <f t="shared" si="119"/>
        <v>1</v>
      </c>
      <c r="P417" s="155"/>
      <c r="Q417" s="186"/>
      <c r="R417" s="186" t="s">
        <v>873</v>
      </c>
      <c r="S417" s="139"/>
      <c r="V417" s="139"/>
    </row>
    <row r="418" spans="1:22">
      <c r="A418" s="186">
        <f t="shared" si="115"/>
        <v>12</v>
      </c>
      <c r="E418" s="141" t="s">
        <v>1829</v>
      </c>
      <c r="F418" s="141" t="s">
        <v>1756</v>
      </c>
      <c r="G418" s="154" t="str">
        <f t="shared" si="121"/>
        <v>12/</v>
      </c>
      <c r="H418" s="141" t="str">
        <f t="shared" si="122"/>
        <v>12/</v>
      </c>
      <c r="I418" s="139" t="e">
        <f t="shared" si="116"/>
        <v>#NUM!</v>
      </c>
      <c r="J418" s="139" t="e">
        <f t="shared" si="117"/>
        <v>#NUM!</v>
      </c>
      <c r="K418" s="155">
        <f t="shared" si="120"/>
        <v>-1</v>
      </c>
      <c r="N418" s="139">
        <f t="shared" si="118"/>
        <v>0</v>
      </c>
      <c r="O418" s="139">
        <f t="shared" si="119"/>
        <v>1</v>
      </c>
      <c r="P418" s="155"/>
      <c r="Q418" s="186"/>
      <c r="R418" s="186" t="s">
        <v>873</v>
      </c>
      <c r="S418" s="139"/>
      <c r="V418" s="139"/>
    </row>
    <row r="419" spans="1:22">
      <c r="A419" s="186">
        <f t="shared" si="115"/>
        <v>12</v>
      </c>
      <c r="E419" s="141" t="s">
        <v>1829</v>
      </c>
      <c r="F419" s="141" t="s">
        <v>1756</v>
      </c>
      <c r="G419" s="154" t="str">
        <f t="shared" si="121"/>
        <v>12/</v>
      </c>
      <c r="H419" s="141" t="str">
        <f t="shared" si="122"/>
        <v>12/</v>
      </c>
      <c r="I419" s="139" t="e">
        <f t="shared" si="116"/>
        <v>#NUM!</v>
      </c>
      <c r="J419" s="139" t="e">
        <f t="shared" si="117"/>
        <v>#NUM!</v>
      </c>
      <c r="K419" s="155">
        <f t="shared" si="120"/>
        <v>-1</v>
      </c>
      <c r="N419" s="139">
        <f t="shared" si="118"/>
        <v>0</v>
      </c>
      <c r="O419" s="139">
        <f t="shared" si="119"/>
        <v>1</v>
      </c>
      <c r="P419" s="155"/>
      <c r="Q419" s="186"/>
      <c r="R419" s="186" t="s">
        <v>873</v>
      </c>
      <c r="S419" s="139"/>
      <c r="V419" s="139"/>
    </row>
    <row r="420" spans="1:22">
      <c r="A420" s="186">
        <f t="shared" si="115"/>
        <v>12</v>
      </c>
      <c r="E420" s="141" t="s">
        <v>1829</v>
      </c>
      <c r="F420" s="141" t="s">
        <v>1756</v>
      </c>
      <c r="G420" s="154" t="str">
        <f t="shared" si="121"/>
        <v>12/</v>
      </c>
      <c r="H420" s="141" t="str">
        <f t="shared" si="122"/>
        <v>12/</v>
      </c>
      <c r="I420" s="139" t="e">
        <f t="shared" si="116"/>
        <v>#NUM!</v>
      </c>
      <c r="J420" s="139" t="e">
        <f t="shared" si="117"/>
        <v>#NUM!</v>
      </c>
      <c r="K420" s="155">
        <f t="shared" si="120"/>
        <v>-1</v>
      </c>
      <c r="N420" s="139">
        <f t="shared" si="118"/>
        <v>0</v>
      </c>
      <c r="O420" s="139">
        <f t="shared" si="119"/>
        <v>1</v>
      </c>
      <c r="P420" s="155"/>
      <c r="Q420" s="186"/>
      <c r="R420" s="186" t="s">
        <v>873</v>
      </c>
      <c r="S420" s="139"/>
      <c r="V420" s="139"/>
    </row>
    <row r="421" spans="1:22">
      <c r="A421" s="186">
        <f t="shared" si="115"/>
        <v>12</v>
      </c>
      <c r="E421" s="141" t="s">
        <v>1829</v>
      </c>
      <c r="F421" s="141" t="s">
        <v>1756</v>
      </c>
      <c r="G421" s="154" t="str">
        <f t="shared" si="121"/>
        <v>12/</v>
      </c>
      <c r="H421" s="141" t="str">
        <f t="shared" si="122"/>
        <v>12/</v>
      </c>
      <c r="I421" s="139" t="e">
        <f t="shared" si="116"/>
        <v>#NUM!</v>
      </c>
      <c r="J421" s="139" t="e">
        <f t="shared" si="117"/>
        <v>#NUM!</v>
      </c>
      <c r="K421" s="155">
        <f t="shared" si="120"/>
        <v>-1</v>
      </c>
      <c r="N421" s="139">
        <f t="shared" si="118"/>
        <v>0</v>
      </c>
      <c r="O421" s="139">
        <f t="shared" si="119"/>
        <v>1</v>
      </c>
      <c r="P421" s="155"/>
      <c r="Q421" s="186"/>
      <c r="R421" s="186" t="s">
        <v>873</v>
      </c>
      <c r="S421" s="139"/>
      <c r="V421" s="139"/>
    </row>
    <row r="422" spans="1:22">
      <c r="A422" s="186">
        <f t="shared" si="115"/>
        <v>12</v>
      </c>
      <c r="E422" s="141" t="s">
        <v>1829</v>
      </c>
      <c r="F422" s="141" t="s">
        <v>1756</v>
      </c>
      <c r="G422" s="154" t="str">
        <f t="shared" si="121"/>
        <v>12/</v>
      </c>
      <c r="H422" s="141" t="str">
        <f t="shared" si="122"/>
        <v>12/</v>
      </c>
      <c r="I422" s="139" t="e">
        <f t="shared" si="116"/>
        <v>#NUM!</v>
      </c>
      <c r="J422" s="139" t="e">
        <f t="shared" si="117"/>
        <v>#NUM!</v>
      </c>
      <c r="K422" s="155">
        <f t="shared" si="120"/>
        <v>-1</v>
      </c>
      <c r="N422" s="139">
        <f t="shared" si="118"/>
        <v>0</v>
      </c>
      <c r="O422" s="139">
        <f t="shared" si="119"/>
        <v>1</v>
      </c>
      <c r="P422" s="155"/>
      <c r="Q422" s="186"/>
      <c r="R422" s="186" t="s">
        <v>873</v>
      </c>
      <c r="S422" s="139"/>
      <c r="V422" s="139"/>
    </row>
    <row r="423" spans="1:22">
      <c r="A423" s="186">
        <f t="shared" si="115"/>
        <v>12</v>
      </c>
      <c r="E423" s="141" t="s">
        <v>1829</v>
      </c>
      <c r="F423" s="141" t="s">
        <v>1756</v>
      </c>
      <c r="G423" s="154" t="str">
        <f t="shared" si="121"/>
        <v>12/</v>
      </c>
      <c r="H423" s="141" t="str">
        <f t="shared" si="122"/>
        <v>12/</v>
      </c>
      <c r="I423" s="139" t="e">
        <f t="shared" si="116"/>
        <v>#NUM!</v>
      </c>
      <c r="J423" s="139" t="e">
        <f t="shared" si="117"/>
        <v>#NUM!</v>
      </c>
      <c r="K423" s="155">
        <f t="shared" si="120"/>
        <v>-1</v>
      </c>
      <c r="N423" s="139">
        <f t="shared" si="118"/>
        <v>0</v>
      </c>
      <c r="O423" s="139">
        <f t="shared" si="119"/>
        <v>1</v>
      </c>
      <c r="P423" s="155"/>
      <c r="Q423" s="186"/>
      <c r="R423" s="186" t="s">
        <v>873</v>
      </c>
      <c r="S423" s="139"/>
      <c r="V423" s="139"/>
    </row>
    <row r="424" spans="1:22">
      <c r="A424" s="186">
        <f t="shared" si="115"/>
        <v>12</v>
      </c>
      <c r="E424" s="141" t="s">
        <v>1829</v>
      </c>
      <c r="F424" s="141" t="s">
        <v>1756</v>
      </c>
      <c r="G424" s="154" t="str">
        <f t="shared" si="121"/>
        <v>12/</v>
      </c>
      <c r="H424" s="141" t="str">
        <f t="shared" si="122"/>
        <v>12/</v>
      </c>
      <c r="I424" s="139" t="e">
        <f t="shared" si="116"/>
        <v>#NUM!</v>
      </c>
      <c r="J424" s="139" t="e">
        <f t="shared" si="117"/>
        <v>#NUM!</v>
      </c>
      <c r="K424" s="155">
        <f t="shared" si="120"/>
        <v>-1</v>
      </c>
      <c r="N424" s="139">
        <f t="shared" si="118"/>
        <v>0</v>
      </c>
      <c r="O424" s="139">
        <f t="shared" si="119"/>
        <v>1</v>
      </c>
      <c r="P424" s="155"/>
      <c r="Q424" s="186"/>
      <c r="R424" s="186" t="s">
        <v>873</v>
      </c>
      <c r="S424" s="139"/>
      <c r="V424" s="139"/>
    </row>
    <row r="425" spans="1:22">
      <c r="A425" s="186">
        <f t="shared" si="115"/>
        <v>12</v>
      </c>
      <c r="E425" s="141" t="s">
        <v>1829</v>
      </c>
      <c r="F425" s="141" t="s">
        <v>1756</v>
      </c>
      <c r="G425" s="154" t="str">
        <f t="shared" si="121"/>
        <v>12/</v>
      </c>
      <c r="H425" s="141" t="str">
        <f t="shared" si="122"/>
        <v>12/</v>
      </c>
      <c r="I425" s="139" t="e">
        <f t="shared" si="116"/>
        <v>#NUM!</v>
      </c>
      <c r="J425" s="139" t="e">
        <f t="shared" si="117"/>
        <v>#NUM!</v>
      </c>
      <c r="K425" s="155">
        <f t="shared" si="120"/>
        <v>-1</v>
      </c>
      <c r="N425" s="139">
        <f t="shared" si="118"/>
        <v>0</v>
      </c>
      <c r="O425" s="139">
        <f t="shared" si="119"/>
        <v>1</v>
      </c>
      <c r="P425" s="155"/>
      <c r="Q425" s="186"/>
      <c r="R425" s="186" t="s">
        <v>873</v>
      </c>
      <c r="S425" s="139"/>
      <c r="V425" s="139"/>
    </row>
    <row r="426" spans="1:22">
      <c r="A426" s="186">
        <f t="shared" ref="A426:A489" si="123">A425</f>
        <v>12</v>
      </c>
      <c r="E426" s="141" t="s">
        <v>1829</v>
      </c>
      <c r="F426" s="141" t="s">
        <v>1756</v>
      </c>
      <c r="G426" s="154" t="str">
        <f t="shared" si="121"/>
        <v>12/</v>
      </c>
      <c r="H426" s="141" t="str">
        <f t="shared" si="122"/>
        <v>12/</v>
      </c>
      <c r="I426" s="139" t="e">
        <f t="shared" si="116"/>
        <v>#NUM!</v>
      </c>
      <c r="J426" s="139" t="e">
        <f t="shared" si="117"/>
        <v>#NUM!</v>
      </c>
      <c r="K426" s="155">
        <f t="shared" si="120"/>
        <v>-1</v>
      </c>
      <c r="N426" s="139">
        <f t="shared" si="118"/>
        <v>0</v>
      </c>
      <c r="O426" s="139">
        <f t="shared" si="119"/>
        <v>1</v>
      </c>
      <c r="P426" s="155"/>
      <c r="Q426" s="186"/>
      <c r="R426" s="186" t="s">
        <v>873</v>
      </c>
      <c r="S426" s="139"/>
      <c r="V426" s="139"/>
    </row>
    <row r="427" spans="1:22">
      <c r="A427" s="186">
        <f t="shared" si="123"/>
        <v>12</v>
      </c>
      <c r="E427" s="141" t="s">
        <v>1829</v>
      </c>
      <c r="F427" s="141" t="s">
        <v>1756</v>
      </c>
      <c r="G427" s="154" t="str">
        <f t="shared" si="121"/>
        <v>12/</v>
      </c>
      <c r="H427" s="141" t="str">
        <f t="shared" si="122"/>
        <v>12/</v>
      </c>
      <c r="I427" s="139" t="e">
        <f t="shared" si="116"/>
        <v>#NUM!</v>
      </c>
      <c r="J427" s="139" t="e">
        <f t="shared" si="117"/>
        <v>#NUM!</v>
      </c>
      <c r="K427" s="155">
        <f t="shared" si="120"/>
        <v>-1</v>
      </c>
      <c r="N427" s="139">
        <f t="shared" si="118"/>
        <v>0</v>
      </c>
      <c r="O427" s="139">
        <f t="shared" si="119"/>
        <v>1</v>
      </c>
      <c r="P427" s="155"/>
      <c r="Q427" s="186"/>
      <c r="R427" s="186" t="s">
        <v>873</v>
      </c>
      <c r="S427" s="139"/>
      <c r="V427" s="139"/>
    </row>
    <row r="428" spans="1:22">
      <c r="A428" s="186">
        <f t="shared" si="123"/>
        <v>12</v>
      </c>
      <c r="E428" s="141" t="s">
        <v>1829</v>
      </c>
      <c r="F428" s="141" t="s">
        <v>1756</v>
      </c>
      <c r="G428" s="154" t="str">
        <f t="shared" si="121"/>
        <v>12/</v>
      </c>
      <c r="H428" s="141" t="str">
        <f t="shared" si="122"/>
        <v>12/</v>
      </c>
      <c r="I428" s="139" t="e">
        <f t="shared" si="116"/>
        <v>#NUM!</v>
      </c>
      <c r="J428" s="139" t="e">
        <f t="shared" si="117"/>
        <v>#NUM!</v>
      </c>
      <c r="K428" s="155">
        <f t="shared" si="120"/>
        <v>-1</v>
      </c>
      <c r="N428" s="139">
        <f t="shared" si="118"/>
        <v>0</v>
      </c>
      <c r="O428" s="139">
        <f t="shared" si="119"/>
        <v>1</v>
      </c>
      <c r="P428" s="155"/>
      <c r="Q428" s="186"/>
      <c r="R428" s="186" t="s">
        <v>873</v>
      </c>
      <c r="S428" s="139"/>
      <c r="V428" s="139"/>
    </row>
    <row r="429" spans="1:22">
      <c r="A429" s="186">
        <f t="shared" si="123"/>
        <v>12</v>
      </c>
      <c r="E429" s="141" t="s">
        <v>1829</v>
      </c>
      <c r="F429" s="141" t="s">
        <v>1756</v>
      </c>
      <c r="G429" s="154" t="str">
        <f t="shared" si="121"/>
        <v>12/</v>
      </c>
      <c r="H429" s="141" t="str">
        <f t="shared" si="122"/>
        <v>12/</v>
      </c>
      <c r="I429" s="139" t="e">
        <f t="shared" si="116"/>
        <v>#NUM!</v>
      </c>
      <c r="J429" s="139" t="e">
        <f t="shared" si="117"/>
        <v>#NUM!</v>
      </c>
      <c r="K429" s="155">
        <f t="shared" si="120"/>
        <v>-1</v>
      </c>
      <c r="N429" s="139">
        <f t="shared" si="118"/>
        <v>0</v>
      </c>
      <c r="O429" s="139">
        <f t="shared" si="119"/>
        <v>1</v>
      </c>
      <c r="P429" s="155"/>
      <c r="Q429" s="186"/>
      <c r="R429" s="186" t="s">
        <v>873</v>
      </c>
      <c r="S429" s="139"/>
      <c r="V429" s="139"/>
    </row>
    <row r="430" spans="1:22">
      <c r="A430" s="186">
        <f t="shared" si="123"/>
        <v>12</v>
      </c>
      <c r="E430" s="141" t="s">
        <v>1829</v>
      </c>
      <c r="F430" s="141" t="s">
        <v>1756</v>
      </c>
      <c r="G430" s="154" t="str">
        <f t="shared" si="121"/>
        <v>12/</v>
      </c>
      <c r="H430" s="141" t="str">
        <f t="shared" si="122"/>
        <v>12/</v>
      </c>
      <c r="I430" s="139" t="e">
        <f t="shared" si="116"/>
        <v>#NUM!</v>
      </c>
      <c r="J430" s="139" t="e">
        <f t="shared" si="117"/>
        <v>#NUM!</v>
      </c>
      <c r="K430" s="155">
        <f t="shared" si="120"/>
        <v>-1</v>
      </c>
      <c r="N430" s="139">
        <f t="shared" si="118"/>
        <v>0</v>
      </c>
      <c r="O430" s="139">
        <f t="shared" si="119"/>
        <v>1</v>
      </c>
      <c r="P430" s="155"/>
      <c r="Q430" s="186"/>
      <c r="R430" s="186" t="s">
        <v>873</v>
      </c>
      <c r="S430" s="139"/>
      <c r="V430" s="139"/>
    </row>
    <row r="431" spans="1:22">
      <c r="A431" s="186">
        <f t="shared" si="123"/>
        <v>12</v>
      </c>
      <c r="E431" s="141" t="s">
        <v>1829</v>
      </c>
      <c r="F431" s="141" t="s">
        <v>1756</v>
      </c>
      <c r="G431" s="154" t="str">
        <f t="shared" si="121"/>
        <v>12/</v>
      </c>
      <c r="H431" s="141" t="str">
        <f t="shared" si="122"/>
        <v>12/</v>
      </c>
      <c r="I431" s="139" t="e">
        <f t="shared" si="116"/>
        <v>#NUM!</v>
      </c>
      <c r="J431" s="139" t="e">
        <f t="shared" si="117"/>
        <v>#NUM!</v>
      </c>
      <c r="K431" s="155">
        <f t="shared" si="120"/>
        <v>-1</v>
      </c>
      <c r="N431" s="139">
        <f t="shared" si="118"/>
        <v>0</v>
      </c>
      <c r="O431" s="139">
        <f t="shared" si="119"/>
        <v>1</v>
      </c>
      <c r="P431" s="155"/>
      <c r="Q431" s="186"/>
      <c r="R431" s="186" t="s">
        <v>873</v>
      </c>
      <c r="S431" s="139"/>
      <c r="V431" s="139"/>
    </row>
    <row r="432" spans="1:22">
      <c r="A432" s="186">
        <f t="shared" si="123"/>
        <v>12</v>
      </c>
      <c r="E432" s="141" t="s">
        <v>1829</v>
      </c>
      <c r="F432" s="141" t="s">
        <v>1756</v>
      </c>
      <c r="G432" s="154" t="str">
        <f t="shared" si="121"/>
        <v>12/</v>
      </c>
      <c r="H432" s="141" t="str">
        <f t="shared" si="122"/>
        <v>12/</v>
      </c>
      <c r="I432" s="139" t="e">
        <f t="shared" si="116"/>
        <v>#NUM!</v>
      </c>
      <c r="J432" s="139" t="e">
        <f t="shared" si="117"/>
        <v>#NUM!</v>
      </c>
      <c r="K432" s="155">
        <f t="shared" si="120"/>
        <v>-1</v>
      </c>
      <c r="N432" s="139">
        <f t="shared" si="118"/>
        <v>0</v>
      </c>
      <c r="O432" s="139">
        <f t="shared" si="119"/>
        <v>1</v>
      </c>
      <c r="P432" s="155"/>
      <c r="Q432" s="186"/>
      <c r="R432" s="186" t="s">
        <v>873</v>
      </c>
      <c r="S432" s="139"/>
      <c r="V432" s="139"/>
    </row>
    <row r="433" spans="1:22">
      <c r="A433" s="186">
        <f t="shared" si="123"/>
        <v>12</v>
      </c>
      <c r="E433" s="141" t="s">
        <v>1829</v>
      </c>
      <c r="F433" s="141" t="s">
        <v>1756</v>
      </c>
      <c r="G433" s="154" t="str">
        <f t="shared" si="121"/>
        <v>12/</v>
      </c>
      <c r="H433" s="141" t="str">
        <f t="shared" si="122"/>
        <v>12/</v>
      </c>
      <c r="I433" s="139" t="e">
        <f t="shared" si="116"/>
        <v>#NUM!</v>
      </c>
      <c r="J433" s="139" t="e">
        <f t="shared" si="117"/>
        <v>#NUM!</v>
      </c>
      <c r="K433" s="155">
        <f t="shared" si="120"/>
        <v>-1</v>
      </c>
      <c r="N433" s="139">
        <f t="shared" si="118"/>
        <v>0</v>
      </c>
      <c r="O433" s="139">
        <f t="shared" si="119"/>
        <v>1</v>
      </c>
      <c r="P433" s="155"/>
      <c r="Q433" s="186"/>
      <c r="R433" s="186" t="s">
        <v>873</v>
      </c>
      <c r="S433" s="139"/>
      <c r="V433" s="139"/>
    </row>
    <row r="434" spans="1:22">
      <c r="A434" s="186">
        <f t="shared" si="123"/>
        <v>12</v>
      </c>
      <c r="E434" s="141" t="s">
        <v>1829</v>
      </c>
      <c r="F434" s="141" t="s">
        <v>1756</v>
      </c>
      <c r="G434" s="154" t="str">
        <f t="shared" si="121"/>
        <v>12/</v>
      </c>
      <c r="H434" s="141" t="str">
        <f t="shared" si="122"/>
        <v>12/</v>
      </c>
      <c r="I434" s="139" t="e">
        <f t="shared" si="116"/>
        <v>#NUM!</v>
      </c>
      <c r="J434" s="139" t="e">
        <f t="shared" si="117"/>
        <v>#NUM!</v>
      </c>
      <c r="K434" s="155">
        <f t="shared" si="120"/>
        <v>-1</v>
      </c>
      <c r="N434" s="139">
        <f t="shared" si="118"/>
        <v>0</v>
      </c>
      <c r="O434" s="139">
        <f t="shared" si="119"/>
        <v>1</v>
      </c>
      <c r="P434" s="155"/>
      <c r="Q434" s="186"/>
      <c r="R434" s="186" t="s">
        <v>873</v>
      </c>
      <c r="S434" s="139"/>
      <c r="V434" s="139"/>
    </row>
    <row r="435" spans="1:22">
      <c r="A435" s="186">
        <f t="shared" si="123"/>
        <v>12</v>
      </c>
      <c r="E435" s="141" t="s">
        <v>1829</v>
      </c>
      <c r="F435" s="141" t="s">
        <v>1756</v>
      </c>
      <c r="G435" s="154" t="str">
        <f t="shared" si="121"/>
        <v>12/</v>
      </c>
      <c r="H435" s="141" t="str">
        <f t="shared" si="122"/>
        <v>12/</v>
      </c>
      <c r="I435" s="139" t="e">
        <f t="shared" ref="I435:I498" si="124">DAY(K435)</f>
        <v>#NUM!</v>
      </c>
      <c r="J435" s="139" t="e">
        <f t="shared" ref="J435:J498" si="125">MONTH(K435)</f>
        <v>#NUM!</v>
      </c>
      <c r="K435" s="155">
        <f t="shared" si="120"/>
        <v>-1</v>
      </c>
      <c r="N435" s="139">
        <f t="shared" ref="N435:N498" si="126">DAY(P435)</f>
        <v>0</v>
      </c>
      <c r="O435" s="139">
        <f t="shared" ref="O435:O498" si="127">MONTH(P435)</f>
        <v>1</v>
      </c>
      <c r="P435" s="155"/>
      <c r="Q435" s="186"/>
      <c r="R435" s="186" t="s">
        <v>873</v>
      </c>
      <c r="S435" s="139"/>
      <c r="V435" s="139"/>
    </row>
    <row r="436" spans="1:22">
      <c r="A436" s="186">
        <f t="shared" si="123"/>
        <v>12</v>
      </c>
      <c r="E436" s="141" t="s">
        <v>1829</v>
      </c>
      <c r="F436" s="141" t="s">
        <v>1756</v>
      </c>
      <c r="G436" s="154" t="str">
        <f t="shared" si="121"/>
        <v>12/</v>
      </c>
      <c r="H436" s="141" t="str">
        <f t="shared" si="122"/>
        <v>12/</v>
      </c>
      <c r="I436" s="139" t="e">
        <f t="shared" si="124"/>
        <v>#NUM!</v>
      </c>
      <c r="J436" s="139" t="e">
        <f t="shared" si="125"/>
        <v>#NUM!</v>
      </c>
      <c r="K436" s="155">
        <f t="shared" si="120"/>
        <v>-1</v>
      </c>
      <c r="N436" s="139">
        <f t="shared" si="126"/>
        <v>0</v>
      </c>
      <c r="O436" s="139">
        <f t="shared" si="127"/>
        <v>1</v>
      </c>
      <c r="P436" s="155"/>
      <c r="Q436" s="186"/>
      <c r="R436" s="186" t="s">
        <v>873</v>
      </c>
      <c r="S436" s="139"/>
      <c r="V436" s="139"/>
    </row>
    <row r="437" spans="1:22">
      <c r="A437" s="186">
        <f t="shared" si="123"/>
        <v>12</v>
      </c>
      <c r="E437" s="141" t="s">
        <v>1829</v>
      </c>
      <c r="F437" s="141" t="s">
        <v>1756</v>
      </c>
      <c r="G437" s="154" t="str">
        <f t="shared" si="121"/>
        <v>12/</v>
      </c>
      <c r="H437" s="141" t="str">
        <f t="shared" si="122"/>
        <v>12/</v>
      </c>
      <c r="I437" s="139" t="e">
        <f t="shared" si="124"/>
        <v>#NUM!</v>
      </c>
      <c r="J437" s="139" t="e">
        <f t="shared" si="125"/>
        <v>#NUM!</v>
      </c>
      <c r="K437" s="155">
        <f t="shared" si="120"/>
        <v>-1</v>
      </c>
      <c r="N437" s="139">
        <f t="shared" si="126"/>
        <v>0</v>
      </c>
      <c r="O437" s="139">
        <f t="shared" si="127"/>
        <v>1</v>
      </c>
      <c r="P437" s="155"/>
      <c r="Q437" s="186"/>
      <c r="R437" s="186" t="s">
        <v>873</v>
      </c>
      <c r="S437" s="139"/>
      <c r="V437" s="139"/>
    </row>
    <row r="438" spans="1:22">
      <c r="A438" s="186">
        <f t="shared" si="123"/>
        <v>12</v>
      </c>
      <c r="E438" s="141" t="s">
        <v>1829</v>
      </c>
      <c r="F438" s="141" t="s">
        <v>1756</v>
      </c>
      <c r="G438" s="154" t="str">
        <f t="shared" si="121"/>
        <v>12/</v>
      </c>
      <c r="H438" s="141" t="str">
        <f t="shared" si="122"/>
        <v>12/</v>
      </c>
      <c r="I438" s="139" t="e">
        <f t="shared" si="124"/>
        <v>#NUM!</v>
      </c>
      <c r="J438" s="139" t="e">
        <f t="shared" si="125"/>
        <v>#NUM!</v>
      </c>
      <c r="K438" s="155">
        <f t="shared" si="120"/>
        <v>-1</v>
      </c>
      <c r="N438" s="139">
        <f t="shared" si="126"/>
        <v>0</v>
      </c>
      <c r="O438" s="139">
        <f t="shared" si="127"/>
        <v>1</v>
      </c>
      <c r="P438" s="155"/>
      <c r="Q438" s="186"/>
      <c r="R438" s="186" t="s">
        <v>873</v>
      </c>
      <c r="S438" s="139"/>
      <c r="V438" s="139"/>
    </row>
    <row r="439" spans="1:22">
      <c r="A439" s="186">
        <f t="shared" si="123"/>
        <v>12</v>
      </c>
      <c r="E439" s="141" t="s">
        <v>1829</v>
      </c>
      <c r="F439" s="141" t="s">
        <v>1756</v>
      </c>
      <c r="G439" s="154" t="str">
        <f t="shared" si="121"/>
        <v>12/</v>
      </c>
      <c r="H439" s="141" t="str">
        <f t="shared" si="122"/>
        <v>12/</v>
      </c>
      <c r="I439" s="139" t="e">
        <f t="shared" si="124"/>
        <v>#NUM!</v>
      </c>
      <c r="J439" s="139" t="e">
        <f t="shared" si="125"/>
        <v>#NUM!</v>
      </c>
      <c r="K439" s="155">
        <f t="shared" si="120"/>
        <v>-1</v>
      </c>
      <c r="N439" s="139">
        <f t="shared" si="126"/>
        <v>0</v>
      </c>
      <c r="O439" s="139">
        <f t="shared" si="127"/>
        <v>1</v>
      </c>
      <c r="P439" s="155"/>
      <c r="Q439" s="186"/>
      <c r="R439" s="186" t="s">
        <v>873</v>
      </c>
      <c r="S439" s="139"/>
      <c r="V439" s="139"/>
    </row>
    <row r="440" spans="1:22">
      <c r="A440" s="186">
        <f t="shared" si="123"/>
        <v>12</v>
      </c>
      <c r="E440" s="141" t="s">
        <v>1829</v>
      </c>
      <c r="F440" s="141" t="s">
        <v>1756</v>
      </c>
      <c r="G440" s="154" t="str">
        <f t="shared" si="121"/>
        <v>12/</v>
      </c>
      <c r="H440" s="141" t="str">
        <f t="shared" si="122"/>
        <v>12/</v>
      </c>
      <c r="I440" s="139" t="e">
        <f t="shared" si="124"/>
        <v>#NUM!</v>
      </c>
      <c r="J440" s="139" t="e">
        <f t="shared" si="125"/>
        <v>#NUM!</v>
      </c>
      <c r="K440" s="155">
        <f t="shared" si="120"/>
        <v>-1</v>
      </c>
      <c r="N440" s="139">
        <f t="shared" si="126"/>
        <v>0</v>
      </c>
      <c r="O440" s="139">
        <f t="shared" si="127"/>
        <v>1</v>
      </c>
      <c r="P440" s="155"/>
      <c r="Q440" s="186"/>
      <c r="R440" s="186" t="s">
        <v>873</v>
      </c>
      <c r="S440" s="139"/>
      <c r="V440" s="139"/>
    </row>
    <row r="441" spans="1:22">
      <c r="A441" s="186">
        <f t="shared" si="123"/>
        <v>12</v>
      </c>
      <c r="E441" s="141" t="s">
        <v>1829</v>
      </c>
      <c r="F441" s="141" t="s">
        <v>1756</v>
      </c>
      <c r="G441" s="154" t="str">
        <f t="shared" si="121"/>
        <v>12/</v>
      </c>
      <c r="H441" s="141" t="str">
        <f t="shared" si="122"/>
        <v>12/</v>
      </c>
      <c r="I441" s="139" t="e">
        <f t="shared" si="124"/>
        <v>#NUM!</v>
      </c>
      <c r="J441" s="139" t="e">
        <f t="shared" si="125"/>
        <v>#NUM!</v>
      </c>
      <c r="K441" s="155">
        <f t="shared" si="120"/>
        <v>-1</v>
      </c>
      <c r="N441" s="139">
        <f t="shared" si="126"/>
        <v>0</v>
      </c>
      <c r="O441" s="139">
        <f t="shared" si="127"/>
        <v>1</v>
      </c>
      <c r="P441" s="155"/>
      <c r="Q441" s="186"/>
      <c r="R441" s="186" t="s">
        <v>873</v>
      </c>
      <c r="S441" s="139"/>
      <c r="V441" s="139"/>
    </row>
    <row r="442" spans="1:22">
      <c r="A442" s="186">
        <f t="shared" si="123"/>
        <v>12</v>
      </c>
      <c r="E442" s="141" t="s">
        <v>1829</v>
      </c>
      <c r="F442" s="141" t="s">
        <v>1756</v>
      </c>
      <c r="G442" s="154" t="str">
        <f t="shared" si="121"/>
        <v>12/</v>
      </c>
      <c r="H442" s="141" t="str">
        <f t="shared" si="122"/>
        <v>12/</v>
      </c>
      <c r="I442" s="139" t="e">
        <f t="shared" si="124"/>
        <v>#NUM!</v>
      </c>
      <c r="J442" s="139" t="e">
        <f t="shared" si="125"/>
        <v>#NUM!</v>
      </c>
      <c r="K442" s="155">
        <f t="shared" ref="K442:K505" si="128">P442-1</f>
        <v>-1</v>
      </c>
      <c r="N442" s="139">
        <f t="shared" si="126"/>
        <v>0</v>
      </c>
      <c r="O442" s="139">
        <f t="shared" si="127"/>
        <v>1</v>
      </c>
      <c r="P442" s="155"/>
      <c r="Q442" s="186"/>
      <c r="R442" s="186" t="s">
        <v>873</v>
      </c>
      <c r="S442" s="139"/>
      <c r="V442" s="139"/>
    </row>
    <row r="443" spans="1:22">
      <c r="A443" s="186">
        <f t="shared" si="123"/>
        <v>12</v>
      </c>
      <c r="E443" s="141" t="s">
        <v>1829</v>
      </c>
      <c r="F443" s="141" t="s">
        <v>1756</v>
      </c>
      <c r="G443" s="154" t="str">
        <f t="shared" si="121"/>
        <v>12/</v>
      </c>
      <c r="H443" s="141" t="str">
        <f t="shared" si="122"/>
        <v>12/</v>
      </c>
      <c r="I443" s="139" t="e">
        <f t="shared" si="124"/>
        <v>#NUM!</v>
      </c>
      <c r="J443" s="139" t="e">
        <f t="shared" si="125"/>
        <v>#NUM!</v>
      </c>
      <c r="K443" s="155">
        <f t="shared" si="128"/>
        <v>-1</v>
      </c>
      <c r="N443" s="139">
        <f t="shared" si="126"/>
        <v>0</v>
      </c>
      <c r="O443" s="139">
        <f t="shared" si="127"/>
        <v>1</v>
      </c>
      <c r="P443" s="155"/>
      <c r="Q443" s="186"/>
      <c r="R443" s="186" t="s">
        <v>873</v>
      </c>
      <c r="S443" s="139"/>
      <c r="V443" s="139"/>
    </row>
    <row r="444" spans="1:22">
      <c r="A444" s="186">
        <f t="shared" si="123"/>
        <v>12</v>
      </c>
      <c r="E444" s="141" t="s">
        <v>1829</v>
      </c>
      <c r="F444" s="141" t="s">
        <v>1756</v>
      </c>
      <c r="G444" s="154" t="str">
        <f t="shared" si="121"/>
        <v>12/</v>
      </c>
      <c r="H444" s="141" t="str">
        <f t="shared" si="122"/>
        <v>12/</v>
      </c>
      <c r="I444" s="139" t="e">
        <f t="shared" si="124"/>
        <v>#NUM!</v>
      </c>
      <c r="J444" s="139" t="e">
        <f t="shared" si="125"/>
        <v>#NUM!</v>
      </c>
      <c r="K444" s="155">
        <f t="shared" si="128"/>
        <v>-1</v>
      </c>
      <c r="N444" s="139">
        <f t="shared" si="126"/>
        <v>0</v>
      </c>
      <c r="O444" s="139">
        <f t="shared" si="127"/>
        <v>1</v>
      </c>
      <c r="P444" s="155"/>
      <c r="Q444" s="186"/>
      <c r="R444" s="186" t="s">
        <v>873</v>
      </c>
      <c r="S444" s="139"/>
      <c r="V444" s="139"/>
    </row>
    <row r="445" spans="1:22">
      <c r="A445" s="186">
        <f t="shared" si="123"/>
        <v>12</v>
      </c>
      <c r="E445" s="141" t="s">
        <v>1829</v>
      </c>
      <c r="F445" s="141" t="s">
        <v>1756</v>
      </c>
      <c r="G445" s="154" t="str">
        <f t="shared" si="121"/>
        <v>12/</v>
      </c>
      <c r="H445" s="141" t="str">
        <f t="shared" si="122"/>
        <v>12/</v>
      </c>
      <c r="I445" s="139" t="e">
        <f t="shared" si="124"/>
        <v>#NUM!</v>
      </c>
      <c r="J445" s="139" t="e">
        <f t="shared" si="125"/>
        <v>#NUM!</v>
      </c>
      <c r="K445" s="155">
        <f t="shared" si="128"/>
        <v>-1</v>
      </c>
      <c r="N445" s="139">
        <f t="shared" si="126"/>
        <v>0</v>
      </c>
      <c r="O445" s="139">
        <f t="shared" si="127"/>
        <v>1</v>
      </c>
      <c r="P445" s="155"/>
      <c r="Q445" s="186"/>
      <c r="R445" s="186" t="s">
        <v>873</v>
      </c>
      <c r="S445" s="139"/>
      <c r="V445" s="139"/>
    </row>
    <row r="446" spans="1:22">
      <c r="A446" s="186">
        <f t="shared" si="123"/>
        <v>12</v>
      </c>
      <c r="E446" s="141" t="s">
        <v>1829</v>
      </c>
      <c r="F446" s="141" t="s">
        <v>1756</v>
      </c>
      <c r="G446" s="154" t="str">
        <f t="shared" si="121"/>
        <v>12/</v>
      </c>
      <c r="H446" s="141" t="str">
        <f t="shared" si="122"/>
        <v>12/</v>
      </c>
      <c r="I446" s="139" t="e">
        <f t="shared" si="124"/>
        <v>#NUM!</v>
      </c>
      <c r="J446" s="139" t="e">
        <f t="shared" si="125"/>
        <v>#NUM!</v>
      </c>
      <c r="K446" s="155">
        <f t="shared" si="128"/>
        <v>-1</v>
      </c>
      <c r="N446" s="139">
        <f t="shared" si="126"/>
        <v>0</v>
      </c>
      <c r="O446" s="139">
        <f t="shared" si="127"/>
        <v>1</v>
      </c>
      <c r="P446" s="155"/>
      <c r="Q446" s="186"/>
      <c r="R446" s="186" t="s">
        <v>873</v>
      </c>
      <c r="S446" s="139"/>
      <c r="V446" s="139"/>
    </row>
    <row r="447" spans="1:22">
      <c r="A447" s="186">
        <f t="shared" si="123"/>
        <v>12</v>
      </c>
      <c r="E447" s="141" t="s">
        <v>1829</v>
      </c>
      <c r="F447" s="141" t="s">
        <v>1756</v>
      </c>
      <c r="G447" s="154" t="str">
        <f t="shared" si="121"/>
        <v>12/</v>
      </c>
      <c r="H447" s="141" t="str">
        <f t="shared" si="122"/>
        <v>12/</v>
      </c>
      <c r="I447" s="139" t="e">
        <f t="shared" si="124"/>
        <v>#NUM!</v>
      </c>
      <c r="J447" s="139" t="e">
        <f t="shared" si="125"/>
        <v>#NUM!</v>
      </c>
      <c r="K447" s="155">
        <f t="shared" si="128"/>
        <v>-1</v>
      </c>
      <c r="N447" s="139">
        <f t="shared" si="126"/>
        <v>0</v>
      </c>
      <c r="O447" s="139">
        <f t="shared" si="127"/>
        <v>1</v>
      </c>
      <c r="P447" s="155"/>
      <c r="Q447" s="186"/>
      <c r="R447" s="186" t="s">
        <v>873</v>
      </c>
      <c r="S447" s="139"/>
      <c r="V447" s="139"/>
    </row>
    <row r="448" spans="1:22">
      <c r="A448" s="186">
        <f t="shared" si="123"/>
        <v>12</v>
      </c>
      <c r="E448" s="141" t="s">
        <v>1829</v>
      </c>
      <c r="F448" s="141" t="s">
        <v>1756</v>
      </c>
      <c r="G448" s="154" t="str">
        <f t="shared" si="121"/>
        <v>12/</v>
      </c>
      <c r="H448" s="141" t="str">
        <f t="shared" si="122"/>
        <v>12/</v>
      </c>
      <c r="I448" s="139" t="e">
        <f t="shared" si="124"/>
        <v>#NUM!</v>
      </c>
      <c r="J448" s="139" t="e">
        <f t="shared" si="125"/>
        <v>#NUM!</v>
      </c>
      <c r="K448" s="155">
        <f t="shared" si="128"/>
        <v>-1</v>
      </c>
      <c r="N448" s="139">
        <f t="shared" si="126"/>
        <v>0</v>
      </c>
      <c r="O448" s="139">
        <f t="shared" si="127"/>
        <v>1</v>
      </c>
      <c r="P448" s="155"/>
      <c r="Q448" s="186"/>
      <c r="R448" s="186" t="s">
        <v>873</v>
      </c>
      <c r="S448" s="139"/>
      <c r="V448" s="139"/>
    </row>
    <row r="449" spans="1:22">
      <c r="A449" s="186">
        <f t="shared" si="123"/>
        <v>12</v>
      </c>
      <c r="E449" s="141" t="s">
        <v>1829</v>
      </c>
      <c r="F449" s="141" t="s">
        <v>1756</v>
      </c>
      <c r="G449" s="154" t="str">
        <f t="shared" ref="G449:G512" si="129">A449&amp;"/"&amp;B449</f>
        <v>12/</v>
      </c>
      <c r="H449" s="141" t="str">
        <f t="shared" ref="H449:H512" si="130">A449&amp;"/"&amp;B449</f>
        <v>12/</v>
      </c>
      <c r="I449" s="139" t="e">
        <f t="shared" si="124"/>
        <v>#NUM!</v>
      </c>
      <c r="J449" s="139" t="e">
        <f t="shared" si="125"/>
        <v>#NUM!</v>
      </c>
      <c r="K449" s="155">
        <f t="shared" si="128"/>
        <v>-1</v>
      </c>
      <c r="N449" s="139">
        <f t="shared" si="126"/>
        <v>0</v>
      </c>
      <c r="O449" s="139">
        <f t="shared" si="127"/>
        <v>1</v>
      </c>
      <c r="P449" s="155"/>
      <c r="Q449" s="186"/>
      <c r="R449" s="186" t="s">
        <v>873</v>
      </c>
      <c r="S449" s="139"/>
      <c r="V449" s="139"/>
    </row>
    <row r="450" spans="1:22">
      <c r="A450" s="186">
        <f t="shared" si="123"/>
        <v>12</v>
      </c>
      <c r="E450" s="141" t="s">
        <v>1829</v>
      </c>
      <c r="F450" s="141" t="s">
        <v>1756</v>
      </c>
      <c r="G450" s="154" t="str">
        <f t="shared" si="129"/>
        <v>12/</v>
      </c>
      <c r="H450" s="141" t="str">
        <f t="shared" si="130"/>
        <v>12/</v>
      </c>
      <c r="I450" s="139" t="e">
        <f t="shared" si="124"/>
        <v>#NUM!</v>
      </c>
      <c r="J450" s="139" t="e">
        <f t="shared" si="125"/>
        <v>#NUM!</v>
      </c>
      <c r="K450" s="155">
        <f t="shared" si="128"/>
        <v>-1</v>
      </c>
      <c r="N450" s="139">
        <f t="shared" si="126"/>
        <v>0</v>
      </c>
      <c r="O450" s="139">
        <f t="shared" si="127"/>
        <v>1</v>
      </c>
      <c r="P450" s="155"/>
      <c r="Q450" s="186"/>
      <c r="R450" s="186" t="s">
        <v>873</v>
      </c>
      <c r="S450" s="139"/>
      <c r="V450" s="139"/>
    </row>
    <row r="451" spans="1:22">
      <c r="A451" s="186">
        <f t="shared" si="123"/>
        <v>12</v>
      </c>
      <c r="E451" s="141" t="s">
        <v>1829</v>
      </c>
      <c r="F451" s="141" t="s">
        <v>1756</v>
      </c>
      <c r="G451" s="154" t="str">
        <f t="shared" si="129"/>
        <v>12/</v>
      </c>
      <c r="H451" s="141" t="str">
        <f t="shared" si="130"/>
        <v>12/</v>
      </c>
      <c r="I451" s="139" t="e">
        <f t="shared" si="124"/>
        <v>#NUM!</v>
      </c>
      <c r="J451" s="139" t="e">
        <f t="shared" si="125"/>
        <v>#NUM!</v>
      </c>
      <c r="K451" s="155">
        <f t="shared" si="128"/>
        <v>-1</v>
      </c>
      <c r="N451" s="139">
        <f t="shared" si="126"/>
        <v>0</v>
      </c>
      <c r="O451" s="139">
        <f t="shared" si="127"/>
        <v>1</v>
      </c>
      <c r="P451" s="155"/>
      <c r="Q451" s="186"/>
      <c r="R451" s="186" t="s">
        <v>873</v>
      </c>
      <c r="S451" s="139"/>
      <c r="V451" s="139"/>
    </row>
    <row r="452" spans="1:22">
      <c r="A452" s="186">
        <f t="shared" si="123"/>
        <v>12</v>
      </c>
      <c r="E452" s="141" t="s">
        <v>1829</v>
      </c>
      <c r="F452" s="141" t="s">
        <v>1756</v>
      </c>
      <c r="G452" s="154" t="str">
        <f t="shared" si="129"/>
        <v>12/</v>
      </c>
      <c r="H452" s="141" t="str">
        <f t="shared" si="130"/>
        <v>12/</v>
      </c>
      <c r="I452" s="139" t="e">
        <f t="shared" si="124"/>
        <v>#NUM!</v>
      </c>
      <c r="J452" s="139" t="e">
        <f t="shared" si="125"/>
        <v>#NUM!</v>
      </c>
      <c r="K452" s="155">
        <f t="shared" si="128"/>
        <v>-1</v>
      </c>
      <c r="N452" s="139">
        <f t="shared" si="126"/>
        <v>0</v>
      </c>
      <c r="O452" s="139">
        <f t="shared" si="127"/>
        <v>1</v>
      </c>
      <c r="P452" s="155"/>
      <c r="Q452" s="186"/>
      <c r="R452" s="186" t="s">
        <v>873</v>
      </c>
      <c r="S452" s="139"/>
      <c r="V452" s="139"/>
    </row>
    <row r="453" spans="1:22">
      <c r="A453" s="186">
        <f t="shared" si="123"/>
        <v>12</v>
      </c>
      <c r="E453" s="141" t="s">
        <v>1829</v>
      </c>
      <c r="F453" s="141" t="s">
        <v>1756</v>
      </c>
      <c r="G453" s="154" t="str">
        <f t="shared" si="129"/>
        <v>12/</v>
      </c>
      <c r="H453" s="141" t="str">
        <f t="shared" si="130"/>
        <v>12/</v>
      </c>
      <c r="I453" s="139" t="e">
        <f t="shared" si="124"/>
        <v>#NUM!</v>
      </c>
      <c r="J453" s="139" t="e">
        <f t="shared" si="125"/>
        <v>#NUM!</v>
      </c>
      <c r="K453" s="155">
        <f t="shared" si="128"/>
        <v>-1</v>
      </c>
      <c r="N453" s="139">
        <f t="shared" si="126"/>
        <v>0</v>
      </c>
      <c r="O453" s="139">
        <f t="shared" si="127"/>
        <v>1</v>
      </c>
      <c r="P453" s="155"/>
      <c r="Q453" s="186"/>
      <c r="R453" s="186" t="s">
        <v>873</v>
      </c>
      <c r="S453" s="139"/>
      <c r="V453" s="139"/>
    </row>
    <row r="454" spans="1:22">
      <c r="A454" s="186">
        <f t="shared" si="123"/>
        <v>12</v>
      </c>
      <c r="E454" s="141" t="s">
        <v>1829</v>
      </c>
      <c r="F454" s="141" t="s">
        <v>1756</v>
      </c>
      <c r="G454" s="154" t="str">
        <f t="shared" si="129"/>
        <v>12/</v>
      </c>
      <c r="H454" s="141" t="str">
        <f t="shared" si="130"/>
        <v>12/</v>
      </c>
      <c r="I454" s="139" t="e">
        <f t="shared" si="124"/>
        <v>#NUM!</v>
      </c>
      <c r="J454" s="139" t="e">
        <f t="shared" si="125"/>
        <v>#NUM!</v>
      </c>
      <c r="K454" s="155">
        <f t="shared" si="128"/>
        <v>-1</v>
      </c>
      <c r="N454" s="139">
        <f t="shared" si="126"/>
        <v>0</v>
      </c>
      <c r="O454" s="139">
        <f t="shared" si="127"/>
        <v>1</v>
      </c>
      <c r="P454" s="155"/>
      <c r="Q454" s="186"/>
      <c r="R454" s="186" t="s">
        <v>873</v>
      </c>
      <c r="S454" s="139"/>
      <c r="V454" s="139"/>
    </row>
    <row r="455" spans="1:22">
      <c r="A455" s="186">
        <f t="shared" si="123"/>
        <v>12</v>
      </c>
      <c r="E455" s="141" t="s">
        <v>1829</v>
      </c>
      <c r="F455" s="141" t="s">
        <v>1756</v>
      </c>
      <c r="G455" s="154" t="str">
        <f t="shared" si="129"/>
        <v>12/</v>
      </c>
      <c r="H455" s="141" t="str">
        <f t="shared" si="130"/>
        <v>12/</v>
      </c>
      <c r="I455" s="139" t="e">
        <f t="shared" si="124"/>
        <v>#NUM!</v>
      </c>
      <c r="J455" s="139" t="e">
        <f t="shared" si="125"/>
        <v>#NUM!</v>
      </c>
      <c r="K455" s="155">
        <f t="shared" si="128"/>
        <v>-1</v>
      </c>
      <c r="N455" s="139">
        <f t="shared" si="126"/>
        <v>0</v>
      </c>
      <c r="O455" s="139">
        <f t="shared" si="127"/>
        <v>1</v>
      </c>
      <c r="P455" s="155"/>
      <c r="Q455" s="186"/>
      <c r="R455" s="186" t="s">
        <v>873</v>
      </c>
      <c r="S455" s="139"/>
      <c r="V455" s="139"/>
    </row>
    <row r="456" spans="1:22">
      <c r="A456" s="186">
        <f t="shared" si="123"/>
        <v>12</v>
      </c>
      <c r="E456" s="141" t="s">
        <v>1829</v>
      </c>
      <c r="F456" s="141" t="s">
        <v>1756</v>
      </c>
      <c r="G456" s="154" t="str">
        <f t="shared" si="129"/>
        <v>12/</v>
      </c>
      <c r="H456" s="141" t="str">
        <f t="shared" si="130"/>
        <v>12/</v>
      </c>
      <c r="I456" s="139" t="e">
        <f t="shared" si="124"/>
        <v>#NUM!</v>
      </c>
      <c r="J456" s="139" t="e">
        <f t="shared" si="125"/>
        <v>#NUM!</v>
      </c>
      <c r="K456" s="155">
        <f t="shared" si="128"/>
        <v>-1</v>
      </c>
      <c r="N456" s="139">
        <f t="shared" si="126"/>
        <v>0</v>
      </c>
      <c r="O456" s="139">
        <f t="shared" si="127"/>
        <v>1</v>
      </c>
      <c r="P456" s="155"/>
      <c r="Q456" s="186"/>
      <c r="R456" s="186" t="s">
        <v>873</v>
      </c>
      <c r="S456" s="139"/>
      <c r="V456" s="139"/>
    </row>
    <row r="457" spans="1:22">
      <c r="A457" s="186">
        <f t="shared" si="123"/>
        <v>12</v>
      </c>
      <c r="E457" s="141" t="s">
        <v>1829</v>
      </c>
      <c r="F457" s="141" t="s">
        <v>1756</v>
      </c>
      <c r="G457" s="154" t="str">
        <f t="shared" si="129"/>
        <v>12/</v>
      </c>
      <c r="H457" s="141" t="str">
        <f t="shared" si="130"/>
        <v>12/</v>
      </c>
      <c r="I457" s="139" t="e">
        <f t="shared" si="124"/>
        <v>#NUM!</v>
      </c>
      <c r="J457" s="139" t="e">
        <f t="shared" si="125"/>
        <v>#NUM!</v>
      </c>
      <c r="K457" s="155">
        <f t="shared" si="128"/>
        <v>-1</v>
      </c>
      <c r="N457" s="139">
        <f t="shared" si="126"/>
        <v>0</v>
      </c>
      <c r="O457" s="139">
        <f t="shared" si="127"/>
        <v>1</v>
      </c>
      <c r="P457" s="155"/>
      <c r="Q457" s="186"/>
      <c r="R457" s="186" t="s">
        <v>873</v>
      </c>
      <c r="S457" s="139"/>
      <c r="V457" s="139"/>
    </row>
    <row r="458" spans="1:22">
      <c r="A458" s="186">
        <f t="shared" si="123"/>
        <v>12</v>
      </c>
      <c r="E458" s="141" t="s">
        <v>1829</v>
      </c>
      <c r="F458" s="141" t="s">
        <v>1756</v>
      </c>
      <c r="G458" s="154" t="str">
        <f t="shared" si="129"/>
        <v>12/</v>
      </c>
      <c r="H458" s="141" t="str">
        <f t="shared" si="130"/>
        <v>12/</v>
      </c>
      <c r="I458" s="139" t="e">
        <f t="shared" si="124"/>
        <v>#NUM!</v>
      </c>
      <c r="J458" s="139" t="e">
        <f t="shared" si="125"/>
        <v>#NUM!</v>
      </c>
      <c r="K458" s="155">
        <f t="shared" si="128"/>
        <v>-1</v>
      </c>
      <c r="N458" s="139">
        <f t="shared" si="126"/>
        <v>0</v>
      </c>
      <c r="O458" s="139">
        <f t="shared" si="127"/>
        <v>1</v>
      </c>
      <c r="P458" s="155"/>
      <c r="Q458" s="186"/>
      <c r="R458" s="186" t="s">
        <v>873</v>
      </c>
      <c r="S458" s="139"/>
      <c r="V458" s="139"/>
    </row>
    <row r="459" spans="1:22">
      <c r="A459" s="186">
        <f t="shared" si="123"/>
        <v>12</v>
      </c>
      <c r="E459" s="141" t="s">
        <v>1829</v>
      </c>
      <c r="F459" s="141" t="s">
        <v>1756</v>
      </c>
      <c r="G459" s="154" t="str">
        <f t="shared" si="129"/>
        <v>12/</v>
      </c>
      <c r="H459" s="141" t="str">
        <f t="shared" si="130"/>
        <v>12/</v>
      </c>
      <c r="I459" s="139" t="e">
        <f t="shared" si="124"/>
        <v>#NUM!</v>
      </c>
      <c r="J459" s="139" t="e">
        <f t="shared" si="125"/>
        <v>#NUM!</v>
      </c>
      <c r="K459" s="155">
        <f t="shared" si="128"/>
        <v>-1</v>
      </c>
      <c r="N459" s="139">
        <f t="shared" si="126"/>
        <v>0</v>
      </c>
      <c r="O459" s="139">
        <f t="shared" si="127"/>
        <v>1</v>
      </c>
      <c r="P459" s="155"/>
      <c r="Q459" s="186"/>
      <c r="R459" s="186" t="s">
        <v>873</v>
      </c>
      <c r="S459" s="139"/>
      <c r="V459" s="139"/>
    </row>
    <row r="460" spans="1:22">
      <c r="A460" s="186">
        <f t="shared" si="123"/>
        <v>12</v>
      </c>
      <c r="E460" s="141" t="s">
        <v>1829</v>
      </c>
      <c r="F460" s="141" t="s">
        <v>1756</v>
      </c>
      <c r="G460" s="154" t="str">
        <f t="shared" si="129"/>
        <v>12/</v>
      </c>
      <c r="H460" s="141" t="str">
        <f t="shared" si="130"/>
        <v>12/</v>
      </c>
      <c r="I460" s="139" t="e">
        <f t="shared" si="124"/>
        <v>#NUM!</v>
      </c>
      <c r="J460" s="139" t="e">
        <f t="shared" si="125"/>
        <v>#NUM!</v>
      </c>
      <c r="K460" s="155">
        <f t="shared" si="128"/>
        <v>-1</v>
      </c>
      <c r="N460" s="139">
        <f t="shared" si="126"/>
        <v>0</v>
      </c>
      <c r="O460" s="139">
        <f t="shared" si="127"/>
        <v>1</v>
      </c>
      <c r="P460" s="155"/>
      <c r="Q460" s="186"/>
      <c r="R460" s="186" t="s">
        <v>873</v>
      </c>
      <c r="S460" s="139"/>
      <c r="V460" s="139"/>
    </row>
    <row r="461" spans="1:22">
      <c r="A461" s="186">
        <f t="shared" si="123"/>
        <v>12</v>
      </c>
      <c r="E461" s="141" t="s">
        <v>1829</v>
      </c>
      <c r="F461" s="141" t="s">
        <v>1756</v>
      </c>
      <c r="G461" s="154" t="str">
        <f t="shared" si="129"/>
        <v>12/</v>
      </c>
      <c r="H461" s="141" t="str">
        <f t="shared" si="130"/>
        <v>12/</v>
      </c>
      <c r="I461" s="139" t="e">
        <f t="shared" si="124"/>
        <v>#NUM!</v>
      </c>
      <c r="J461" s="139" t="e">
        <f t="shared" si="125"/>
        <v>#NUM!</v>
      </c>
      <c r="K461" s="155">
        <f t="shared" si="128"/>
        <v>-1</v>
      </c>
      <c r="N461" s="139">
        <f t="shared" si="126"/>
        <v>0</v>
      </c>
      <c r="O461" s="139">
        <f t="shared" si="127"/>
        <v>1</v>
      </c>
      <c r="P461" s="155"/>
      <c r="Q461" s="186"/>
      <c r="R461" s="186" t="s">
        <v>873</v>
      </c>
      <c r="S461" s="139"/>
      <c r="V461" s="139"/>
    </row>
    <row r="462" spans="1:22">
      <c r="A462" s="186">
        <f t="shared" si="123"/>
        <v>12</v>
      </c>
      <c r="E462" s="141" t="s">
        <v>1829</v>
      </c>
      <c r="F462" s="141" t="s">
        <v>1756</v>
      </c>
      <c r="G462" s="154" t="str">
        <f t="shared" si="129"/>
        <v>12/</v>
      </c>
      <c r="H462" s="141" t="str">
        <f t="shared" si="130"/>
        <v>12/</v>
      </c>
      <c r="I462" s="139" t="e">
        <f t="shared" si="124"/>
        <v>#NUM!</v>
      </c>
      <c r="J462" s="139" t="e">
        <f t="shared" si="125"/>
        <v>#NUM!</v>
      </c>
      <c r="K462" s="155">
        <f t="shared" si="128"/>
        <v>-1</v>
      </c>
      <c r="N462" s="139">
        <f t="shared" si="126"/>
        <v>0</v>
      </c>
      <c r="O462" s="139">
        <f t="shared" si="127"/>
        <v>1</v>
      </c>
      <c r="P462" s="155"/>
      <c r="Q462" s="186"/>
      <c r="R462" s="186" t="s">
        <v>873</v>
      </c>
      <c r="S462" s="139"/>
      <c r="V462" s="139"/>
    </row>
    <row r="463" spans="1:22">
      <c r="A463" s="186">
        <f t="shared" si="123"/>
        <v>12</v>
      </c>
      <c r="E463" s="141" t="s">
        <v>1829</v>
      </c>
      <c r="F463" s="141" t="s">
        <v>1756</v>
      </c>
      <c r="G463" s="154" t="str">
        <f t="shared" si="129"/>
        <v>12/</v>
      </c>
      <c r="H463" s="141" t="str">
        <f t="shared" si="130"/>
        <v>12/</v>
      </c>
      <c r="I463" s="139" t="e">
        <f t="shared" si="124"/>
        <v>#NUM!</v>
      </c>
      <c r="J463" s="139" t="e">
        <f t="shared" si="125"/>
        <v>#NUM!</v>
      </c>
      <c r="K463" s="155">
        <f t="shared" si="128"/>
        <v>-1</v>
      </c>
      <c r="N463" s="139">
        <f t="shared" si="126"/>
        <v>0</v>
      </c>
      <c r="O463" s="139">
        <f t="shared" si="127"/>
        <v>1</v>
      </c>
      <c r="P463" s="155"/>
      <c r="Q463" s="186"/>
      <c r="R463" s="186" t="s">
        <v>873</v>
      </c>
      <c r="S463" s="139"/>
      <c r="V463" s="139"/>
    </row>
    <row r="464" spans="1:22">
      <c r="A464" s="186">
        <f t="shared" si="123"/>
        <v>12</v>
      </c>
      <c r="E464" s="141" t="s">
        <v>1829</v>
      </c>
      <c r="F464" s="141" t="s">
        <v>1756</v>
      </c>
      <c r="G464" s="154" t="str">
        <f t="shared" si="129"/>
        <v>12/</v>
      </c>
      <c r="H464" s="141" t="str">
        <f t="shared" si="130"/>
        <v>12/</v>
      </c>
      <c r="I464" s="139" t="e">
        <f t="shared" si="124"/>
        <v>#NUM!</v>
      </c>
      <c r="J464" s="139" t="e">
        <f t="shared" si="125"/>
        <v>#NUM!</v>
      </c>
      <c r="K464" s="155">
        <f t="shared" si="128"/>
        <v>-1</v>
      </c>
      <c r="N464" s="139">
        <f t="shared" si="126"/>
        <v>0</v>
      </c>
      <c r="O464" s="139">
        <f t="shared" si="127"/>
        <v>1</v>
      </c>
      <c r="P464" s="155"/>
      <c r="Q464" s="186"/>
      <c r="R464" s="186" t="s">
        <v>873</v>
      </c>
      <c r="S464" s="139"/>
      <c r="V464" s="139"/>
    </row>
    <row r="465" spans="1:22">
      <c r="A465" s="186">
        <f t="shared" si="123"/>
        <v>12</v>
      </c>
      <c r="E465" s="141" t="s">
        <v>1829</v>
      </c>
      <c r="F465" s="141" t="s">
        <v>1756</v>
      </c>
      <c r="G465" s="154" t="str">
        <f t="shared" si="129"/>
        <v>12/</v>
      </c>
      <c r="H465" s="141" t="str">
        <f t="shared" si="130"/>
        <v>12/</v>
      </c>
      <c r="I465" s="139" t="e">
        <f t="shared" si="124"/>
        <v>#NUM!</v>
      </c>
      <c r="J465" s="139" t="e">
        <f t="shared" si="125"/>
        <v>#NUM!</v>
      </c>
      <c r="K465" s="155">
        <f t="shared" si="128"/>
        <v>-1</v>
      </c>
      <c r="N465" s="139">
        <f t="shared" si="126"/>
        <v>0</v>
      </c>
      <c r="O465" s="139">
        <f t="shared" si="127"/>
        <v>1</v>
      </c>
      <c r="P465" s="155"/>
      <c r="Q465" s="186"/>
      <c r="R465" s="186" t="s">
        <v>873</v>
      </c>
      <c r="S465" s="139"/>
      <c r="V465" s="139"/>
    </row>
    <row r="466" spans="1:22">
      <c r="A466" s="186">
        <f t="shared" si="123"/>
        <v>12</v>
      </c>
      <c r="E466" s="141" t="s">
        <v>1829</v>
      </c>
      <c r="F466" s="141" t="s">
        <v>1756</v>
      </c>
      <c r="G466" s="154" t="str">
        <f t="shared" si="129"/>
        <v>12/</v>
      </c>
      <c r="H466" s="141" t="str">
        <f t="shared" si="130"/>
        <v>12/</v>
      </c>
      <c r="I466" s="139" t="e">
        <f t="shared" si="124"/>
        <v>#NUM!</v>
      </c>
      <c r="J466" s="139" t="e">
        <f t="shared" si="125"/>
        <v>#NUM!</v>
      </c>
      <c r="K466" s="155">
        <f t="shared" si="128"/>
        <v>-1</v>
      </c>
      <c r="N466" s="139">
        <f t="shared" si="126"/>
        <v>0</v>
      </c>
      <c r="O466" s="139">
        <f t="shared" si="127"/>
        <v>1</v>
      </c>
      <c r="P466" s="155"/>
      <c r="Q466" s="186"/>
      <c r="R466" s="186" t="s">
        <v>873</v>
      </c>
      <c r="S466" s="139"/>
      <c r="V466" s="139"/>
    </row>
    <row r="467" spans="1:22">
      <c r="A467" s="186">
        <f t="shared" si="123"/>
        <v>12</v>
      </c>
      <c r="E467" s="141" t="s">
        <v>1829</v>
      </c>
      <c r="F467" s="141" t="s">
        <v>1756</v>
      </c>
      <c r="G467" s="154" t="str">
        <f t="shared" si="129"/>
        <v>12/</v>
      </c>
      <c r="H467" s="141" t="str">
        <f t="shared" si="130"/>
        <v>12/</v>
      </c>
      <c r="I467" s="139" t="e">
        <f t="shared" si="124"/>
        <v>#NUM!</v>
      </c>
      <c r="J467" s="139" t="e">
        <f t="shared" si="125"/>
        <v>#NUM!</v>
      </c>
      <c r="K467" s="155">
        <f t="shared" si="128"/>
        <v>-1</v>
      </c>
      <c r="N467" s="139">
        <f t="shared" si="126"/>
        <v>0</v>
      </c>
      <c r="O467" s="139">
        <f t="shared" si="127"/>
        <v>1</v>
      </c>
      <c r="P467" s="155"/>
      <c r="Q467" s="186"/>
      <c r="R467" s="186" t="s">
        <v>873</v>
      </c>
      <c r="S467" s="139"/>
      <c r="V467" s="139"/>
    </row>
    <row r="468" spans="1:22">
      <c r="A468" s="186">
        <f t="shared" si="123"/>
        <v>12</v>
      </c>
      <c r="E468" s="141" t="s">
        <v>1829</v>
      </c>
      <c r="F468" s="141" t="s">
        <v>1756</v>
      </c>
      <c r="G468" s="154" t="str">
        <f t="shared" si="129"/>
        <v>12/</v>
      </c>
      <c r="H468" s="141" t="str">
        <f t="shared" si="130"/>
        <v>12/</v>
      </c>
      <c r="I468" s="139" t="e">
        <f t="shared" si="124"/>
        <v>#NUM!</v>
      </c>
      <c r="J468" s="139" t="e">
        <f t="shared" si="125"/>
        <v>#NUM!</v>
      </c>
      <c r="K468" s="155">
        <f t="shared" si="128"/>
        <v>-1</v>
      </c>
      <c r="N468" s="139">
        <f t="shared" si="126"/>
        <v>0</v>
      </c>
      <c r="O468" s="139">
        <f t="shared" si="127"/>
        <v>1</v>
      </c>
      <c r="P468" s="155"/>
      <c r="Q468" s="186"/>
      <c r="R468" s="186" t="s">
        <v>873</v>
      </c>
      <c r="S468" s="139"/>
      <c r="V468" s="139"/>
    </row>
    <row r="469" spans="1:22">
      <c r="A469" s="186">
        <f t="shared" si="123"/>
        <v>12</v>
      </c>
      <c r="E469" s="141" t="s">
        <v>1829</v>
      </c>
      <c r="F469" s="141" t="s">
        <v>1756</v>
      </c>
      <c r="G469" s="154" t="str">
        <f t="shared" si="129"/>
        <v>12/</v>
      </c>
      <c r="H469" s="141" t="str">
        <f t="shared" si="130"/>
        <v>12/</v>
      </c>
      <c r="I469" s="139" t="e">
        <f t="shared" si="124"/>
        <v>#NUM!</v>
      </c>
      <c r="J469" s="139" t="e">
        <f t="shared" si="125"/>
        <v>#NUM!</v>
      </c>
      <c r="K469" s="155">
        <f t="shared" si="128"/>
        <v>-1</v>
      </c>
      <c r="N469" s="139">
        <f t="shared" si="126"/>
        <v>0</v>
      </c>
      <c r="O469" s="139">
        <f t="shared" si="127"/>
        <v>1</v>
      </c>
      <c r="P469" s="155"/>
      <c r="Q469" s="186"/>
      <c r="R469" s="186" t="s">
        <v>873</v>
      </c>
      <c r="S469" s="139"/>
      <c r="V469" s="139"/>
    </row>
    <row r="470" spans="1:22">
      <c r="A470" s="186">
        <f t="shared" si="123"/>
        <v>12</v>
      </c>
      <c r="E470" s="141" t="s">
        <v>1829</v>
      </c>
      <c r="F470" s="141" t="s">
        <v>1756</v>
      </c>
      <c r="G470" s="154" t="str">
        <f t="shared" si="129"/>
        <v>12/</v>
      </c>
      <c r="H470" s="141" t="str">
        <f t="shared" si="130"/>
        <v>12/</v>
      </c>
      <c r="I470" s="139" t="e">
        <f t="shared" si="124"/>
        <v>#NUM!</v>
      </c>
      <c r="J470" s="139" t="e">
        <f t="shared" si="125"/>
        <v>#NUM!</v>
      </c>
      <c r="K470" s="155">
        <f t="shared" si="128"/>
        <v>-1</v>
      </c>
      <c r="N470" s="139">
        <f t="shared" si="126"/>
        <v>0</v>
      </c>
      <c r="O470" s="139">
        <f t="shared" si="127"/>
        <v>1</v>
      </c>
      <c r="P470" s="155"/>
      <c r="Q470" s="186"/>
      <c r="R470" s="186" t="s">
        <v>873</v>
      </c>
      <c r="S470" s="139"/>
      <c r="V470" s="139"/>
    </row>
    <row r="471" spans="1:22">
      <c r="A471" s="186">
        <f t="shared" si="123"/>
        <v>12</v>
      </c>
      <c r="E471" s="141" t="s">
        <v>1829</v>
      </c>
      <c r="F471" s="141" t="s">
        <v>1756</v>
      </c>
      <c r="G471" s="154" t="str">
        <f t="shared" si="129"/>
        <v>12/</v>
      </c>
      <c r="H471" s="141" t="str">
        <f t="shared" si="130"/>
        <v>12/</v>
      </c>
      <c r="I471" s="139" t="e">
        <f t="shared" si="124"/>
        <v>#NUM!</v>
      </c>
      <c r="J471" s="139" t="e">
        <f t="shared" si="125"/>
        <v>#NUM!</v>
      </c>
      <c r="K471" s="155">
        <f t="shared" si="128"/>
        <v>-1</v>
      </c>
      <c r="N471" s="139">
        <f t="shared" si="126"/>
        <v>0</v>
      </c>
      <c r="O471" s="139">
        <f t="shared" si="127"/>
        <v>1</v>
      </c>
      <c r="P471" s="155"/>
      <c r="Q471" s="186"/>
      <c r="R471" s="186" t="s">
        <v>873</v>
      </c>
      <c r="S471" s="139"/>
      <c r="V471" s="139"/>
    </row>
    <row r="472" spans="1:22">
      <c r="A472" s="186">
        <f t="shared" si="123"/>
        <v>12</v>
      </c>
      <c r="E472" s="141" t="s">
        <v>1829</v>
      </c>
      <c r="F472" s="141" t="s">
        <v>1756</v>
      </c>
      <c r="G472" s="154" t="str">
        <f t="shared" si="129"/>
        <v>12/</v>
      </c>
      <c r="H472" s="141" t="str">
        <f t="shared" si="130"/>
        <v>12/</v>
      </c>
      <c r="I472" s="139" t="e">
        <f t="shared" si="124"/>
        <v>#NUM!</v>
      </c>
      <c r="J472" s="139" t="e">
        <f t="shared" si="125"/>
        <v>#NUM!</v>
      </c>
      <c r="K472" s="155">
        <f t="shared" si="128"/>
        <v>-1</v>
      </c>
      <c r="N472" s="139">
        <f t="shared" si="126"/>
        <v>0</v>
      </c>
      <c r="O472" s="139">
        <f t="shared" si="127"/>
        <v>1</v>
      </c>
      <c r="P472" s="155"/>
      <c r="Q472" s="186"/>
      <c r="R472" s="186" t="s">
        <v>873</v>
      </c>
      <c r="S472" s="139"/>
      <c r="V472" s="139"/>
    </row>
    <row r="473" spans="1:22">
      <c r="A473" s="186">
        <f t="shared" si="123"/>
        <v>12</v>
      </c>
      <c r="E473" s="141" t="s">
        <v>1829</v>
      </c>
      <c r="F473" s="141" t="s">
        <v>1756</v>
      </c>
      <c r="G473" s="154" t="str">
        <f t="shared" si="129"/>
        <v>12/</v>
      </c>
      <c r="H473" s="141" t="str">
        <f t="shared" si="130"/>
        <v>12/</v>
      </c>
      <c r="I473" s="139" t="e">
        <f t="shared" si="124"/>
        <v>#NUM!</v>
      </c>
      <c r="J473" s="139" t="e">
        <f t="shared" si="125"/>
        <v>#NUM!</v>
      </c>
      <c r="K473" s="155">
        <f t="shared" si="128"/>
        <v>-1</v>
      </c>
      <c r="N473" s="139">
        <f t="shared" si="126"/>
        <v>0</v>
      </c>
      <c r="O473" s="139">
        <f t="shared" si="127"/>
        <v>1</v>
      </c>
      <c r="P473" s="155"/>
      <c r="Q473" s="186"/>
      <c r="R473" s="186" t="s">
        <v>873</v>
      </c>
      <c r="S473" s="139"/>
      <c r="V473" s="139"/>
    </row>
    <row r="474" spans="1:22">
      <c r="A474" s="186">
        <f t="shared" si="123"/>
        <v>12</v>
      </c>
      <c r="E474" s="141" t="s">
        <v>1829</v>
      </c>
      <c r="F474" s="141" t="s">
        <v>1756</v>
      </c>
      <c r="G474" s="154" t="str">
        <f t="shared" si="129"/>
        <v>12/</v>
      </c>
      <c r="H474" s="141" t="str">
        <f t="shared" si="130"/>
        <v>12/</v>
      </c>
      <c r="I474" s="139" t="e">
        <f t="shared" si="124"/>
        <v>#NUM!</v>
      </c>
      <c r="J474" s="139" t="e">
        <f t="shared" si="125"/>
        <v>#NUM!</v>
      </c>
      <c r="K474" s="155">
        <f t="shared" si="128"/>
        <v>-1</v>
      </c>
      <c r="N474" s="139">
        <f t="shared" si="126"/>
        <v>0</v>
      </c>
      <c r="O474" s="139">
        <f t="shared" si="127"/>
        <v>1</v>
      </c>
      <c r="P474" s="155"/>
      <c r="Q474" s="186"/>
      <c r="R474" s="186" t="s">
        <v>873</v>
      </c>
      <c r="S474" s="139"/>
      <c r="V474" s="139"/>
    </row>
    <row r="475" spans="1:22">
      <c r="A475" s="186">
        <f t="shared" si="123"/>
        <v>12</v>
      </c>
      <c r="E475" s="141" t="s">
        <v>1829</v>
      </c>
      <c r="F475" s="141" t="s">
        <v>1756</v>
      </c>
      <c r="G475" s="154" t="str">
        <f t="shared" si="129"/>
        <v>12/</v>
      </c>
      <c r="H475" s="141" t="str">
        <f t="shared" si="130"/>
        <v>12/</v>
      </c>
      <c r="I475" s="139" t="e">
        <f t="shared" si="124"/>
        <v>#NUM!</v>
      </c>
      <c r="J475" s="139" t="e">
        <f t="shared" si="125"/>
        <v>#NUM!</v>
      </c>
      <c r="K475" s="155">
        <f t="shared" si="128"/>
        <v>-1</v>
      </c>
      <c r="N475" s="139">
        <f t="shared" si="126"/>
        <v>0</v>
      </c>
      <c r="O475" s="139">
        <f t="shared" si="127"/>
        <v>1</v>
      </c>
      <c r="P475" s="155"/>
      <c r="Q475" s="186"/>
      <c r="R475" s="186" t="s">
        <v>873</v>
      </c>
      <c r="S475" s="139"/>
      <c r="V475" s="139"/>
    </row>
    <row r="476" spans="1:22">
      <c r="A476" s="186">
        <f t="shared" si="123"/>
        <v>12</v>
      </c>
      <c r="E476" s="141" t="s">
        <v>1829</v>
      </c>
      <c r="F476" s="141" t="s">
        <v>1756</v>
      </c>
      <c r="G476" s="154" t="str">
        <f t="shared" si="129"/>
        <v>12/</v>
      </c>
      <c r="H476" s="141" t="str">
        <f t="shared" si="130"/>
        <v>12/</v>
      </c>
      <c r="I476" s="139" t="e">
        <f t="shared" si="124"/>
        <v>#NUM!</v>
      </c>
      <c r="J476" s="139" t="e">
        <f t="shared" si="125"/>
        <v>#NUM!</v>
      </c>
      <c r="K476" s="155">
        <f t="shared" si="128"/>
        <v>-1</v>
      </c>
      <c r="N476" s="139">
        <f t="shared" si="126"/>
        <v>0</v>
      </c>
      <c r="O476" s="139">
        <f t="shared" si="127"/>
        <v>1</v>
      </c>
      <c r="P476" s="155"/>
      <c r="Q476" s="186"/>
      <c r="R476" s="186" t="s">
        <v>873</v>
      </c>
      <c r="S476" s="139"/>
      <c r="V476" s="139"/>
    </row>
    <row r="477" spans="1:22">
      <c r="A477" s="186">
        <f t="shared" si="123"/>
        <v>12</v>
      </c>
      <c r="E477" s="141" t="s">
        <v>1829</v>
      </c>
      <c r="F477" s="141" t="s">
        <v>1756</v>
      </c>
      <c r="G477" s="154" t="str">
        <f t="shared" si="129"/>
        <v>12/</v>
      </c>
      <c r="H477" s="141" t="str">
        <f t="shared" si="130"/>
        <v>12/</v>
      </c>
      <c r="I477" s="139" t="e">
        <f t="shared" si="124"/>
        <v>#NUM!</v>
      </c>
      <c r="J477" s="139" t="e">
        <f t="shared" si="125"/>
        <v>#NUM!</v>
      </c>
      <c r="K477" s="155">
        <f t="shared" si="128"/>
        <v>-1</v>
      </c>
      <c r="N477" s="139">
        <f t="shared" si="126"/>
        <v>0</v>
      </c>
      <c r="O477" s="139">
        <f t="shared" si="127"/>
        <v>1</v>
      </c>
      <c r="P477" s="155"/>
      <c r="Q477" s="186"/>
      <c r="R477" s="186" t="s">
        <v>873</v>
      </c>
      <c r="S477" s="139"/>
      <c r="V477" s="139"/>
    </row>
    <row r="478" spans="1:22">
      <c r="A478" s="186">
        <f t="shared" si="123"/>
        <v>12</v>
      </c>
      <c r="E478" s="141" t="s">
        <v>1829</v>
      </c>
      <c r="F478" s="141" t="s">
        <v>1756</v>
      </c>
      <c r="G478" s="154" t="str">
        <f t="shared" si="129"/>
        <v>12/</v>
      </c>
      <c r="H478" s="141" t="str">
        <f t="shared" si="130"/>
        <v>12/</v>
      </c>
      <c r="I478" s="139" t="e">
        <f t="shared" si="124"/>
        <v>#NUM!</v>
      </c>
      <c r="J478" s="139" t="e">
        <f t="shared" si="125"/>
        <v>#NUM!</v>
      </c>
      <c r="K478" s="155">
        <f t="shared" si="128"/>
        <v>-1</v>
      </c>
      <c r="N478" s="139">
        <f t="shared" si="126"/>
        <v>0</v>
      </c>
      <c r="O478" s="139">
        <f t="shared" si="127"/>
        <v>1</v>
      </c>
      <c r="P478" s="155"/>
      <c r="Q478" s="186"/>
      <c r="R478" s="186" t="s">
        <v>873</v>
      </c>
      <c r="S478" s="139"/>
      <c r="V478" s="139"/>
    </row>
    <row r="479" spans="1:22">
      <c r="A479" s="186">
        <f t="shared" si="123"/>
        <v>12</v>
      </c>
      <c r="E479" s="141" t="s">
        <v>1829</v>
      </c>
      <c r="F479" s="141" t="s">
        <v>1756</v>
      </c>
      <c r="G479" s="154" t="str">
        <f t="shared" si="129"/>
        <v>12/</v>
      </c>
      <c r="H479" s="141" t="str">
        <f t="shared" si="130"/>
        <v>12/</v>
      </c>
      <c r="I479" s="139" t="e">
        <f t="shared" si="124"/>
        <v>#NUM!</v>
      </c>
      <c r="J479" s="139" t="e">
        <f t="shared" si="125"/>
        <v>#NUM!</v>
      </c>
      <c r="K479" s="155">
        <f t="shared" si="128"/>
        <v>-1</v>
      </c>
      <c r="N479" s="139">
        <f t="shared" si="126"/>
        <v>0</v>
      </c>
      <c r="O479" s="139">
        <f t="shared" si="127"/>
        <v>1</v>
      </c>
      <c r="P479" s="155"/>
      <c r="Q479" s="186"/>
      <c r="R479" s="186" t="s">
        <v>873</v>
      </c>
      <c r="S479" s="139"/>
      <c r="V479" s="139"/>
    </row>
    <row r="480" spans="1:22">
      <c r="A480" s="186">
        <f t="shared" si="123"/>
        <v>12</v>
      </c>
      <c r="E480" s="141" t="s">
        <v>1829</v>
      </c>
      <c r="F480" s="141" t="s">
        <v>1756</v>
      </c>
      <c r="G480" s="154" t="str">
        <f t="shared" si="129"/>
        <v>12/</v>
      </c>
      <c r="H480" s="141" t="str">
        <f t="shared" si="130"/>
        <v>12/</v>
      </c>
      <c r="I480" s="139" t="e">
        <f t="shared" si="124"/>
        <v>#NUM!</v>
      </c>
      <c r="J480" s="139" t="e">
        <f t="shared" si="125"/>
        <v>#NUM!</v>
      </c>
      <c r="K480" s="155">
        <f t="shared" si="128"/>
        <v>-1</v>
      </c>
      <c r="N480" s="139">
        <f t="shared" si="126"/>
        <v>0</v>
      </c>
      <c r="O480" s="139">
        <f t="shared" si="127"/>
        <v>1</v>
      </c>
      <c r="P480" s="155"/>
      <c r="Q480" s="186"/>
      <c r="R480" s="186" t="s">
        <v>873</v>
      </c>
      <c r="S480" s="139"/>
      <c r="V480" s="139"/>
    </row>
    <row r="481" spans="1:22">
      <c r="A481" s="186">
        <f t="shared" si="123"/>
        <v>12</v>
      </c>
      <c r="E481" s="141" t="s">
        <v>1829</v>
      </c>
      <c r="F481" s="141" t="s">
        <v>1756</v>
      </c>
      <c r="G481" s="154" t="str">
        <f t="shared" si="129"/>
        <v>12/</v>
      </c>
      <c r="H481" s="141" t="str">
        <f t="shared" si="130"/>
        <v>12/</v>
      </c>
      <c r="I481" s="139" t="e">
        <f t="shared" si="124"/>
        <v>#NUM!</v>
      </c>
      <c r="J481" s="139" t="e">
        <f t="shared" si="125"/>
        <v>#NUM!</v>
      </c>
      <c r="K481" s="155">
        <f t="shared" si="128"/>
        <v>-1</v>
      </c>
      <c r="N481" s="139">
        <f t="shared" si="126"/>
        <v>0</v>
      </c>
      <c r="O481" s="139">
        <f t="shared" si="127"/>
        <v>1</v>
      </c>
      <c r="P481" s="155"/>
      <c r="Q481" s="186"/>
      <c r="R481" s="186" t="s">
        <v>873</v>
      </c>
      <c r="S481" s="139"/>
      <c r="V481" s="139"/>
    </row>
    <row r="482" spans="1:22">
      <c r="A482" s="186">
        <f t="shared" si="123"/>
        <v>12</v>
      </c>
      <c r="E482" s="141" t="s">
        <v>1829</v>
      </c>
      <c r="F482" s="141" t="s">
        <v>1756</v>
      </c>
      <c r="G482" s="154" t="str">
        <f t="shared" si="129"/>
        <v>12/</v>
      </c>
      <c r="H482" s="141" t="str">
        <f t="shared" si="130"/>
        <v>12/</v>
      </c>
      <c r="I482" s="139" t="e">
        <f t="shared" si="124"/>
        <v>#NUM!</v>
      </c>
      <c r="J482" s="139" t="e">
        <f t="shared" si="125"/>
        <v>#NUM!</v>
      </c>
      <c r="K482" s="155">
        <f t="shared" si="128"/>
        <v>-1</v>
      </c>
      <c r="N482" s="139">
        <f t="shared" si="126"/>
        <v>0</v>
      </c>
      <c r="O482" s="139">
        <f t="shared" si="127"/>
        <v>1</v>
      </c>
      <c r="P482" s="155"/>
      <c r="Q482" s="186"/>
      <c r="R482" s="186" t="s">
        <v>873</v>
      </c>
      <c r="S482" s="139"/>
      <c r="V482" s="139"/>
    </row>
    <row r="483" spans="1:22">
      <c r="A483" s="186">
        <f t="shared" si="123"/>
        <v>12</v>
      </c>
      <c r="E483" s="141" t="s">
        <v>1829</v>
      </c>
      <c r="F483" s="141" t="s">
        <v>1756</v>
      </c>
      <c r="G483" s="154" t="str">
        <f t="shared" si="129"/>
        <v>12/</v>
      </c>
      <c r="H483" s="141" t="str">
        <f t="shared" si="130"/>
        <v>12/</v>
      </c>
      <c r="I483" s="139" t="e">
        <f t="shared" si="124"/>
        <v>#NUM!</v>
      </c>
      <c r="J483" s="139" t="e">
        <f t="shared" si="125"/>
        <v>#NUM!</v>
      </c>
      <c r="K483" s="155">
        <f t="shared" si="128"/>
        <v>-1</v>
      </c>
      <c r="N483" s="139">
        <f t="shared" si="126"/>
        <v>0</v>
      </c>
      <c r="O483" s="139">
        <f t="shared" si="127"/>
        <v>1</v>
      </c>
      <c r="P483" s="155"/>
      <c r="Q483" s="186"/>
      <c r="R483" s="186" t="s">
        <v>873</v>
      </c>
      <c r="S483" s="139"/>
      <c r="V483" s="139"/>
    </row>
    <row r="484" spans="1:22">
      <c r="A484" s="186">
        <f t="shared" si="123"/>
        <v>12</v>
      </c>
      <c r="E484" s="141" t="s">
        <v>1829</v>
      </c>
      <c r="F484" s="141" t="s">
        <v>1756</v>
      </c>
      <c r="G484" s="154" t="str">
        <f t="shared" si="129"/>
        <v>12/</v>
      </c>
      <c r="H484" s="141" t="str">
        <f t="shared" si="130"/>
        <v>12/</v>
      </c>
      <c r="I484" s="139" t="e">
        <f t="shared" si="124"/>
        <v>#NUM!</v>
      </c>
      <c r="J484" s="139" t="e">
        <f t="shared" si="125"/>
        <v>#NUM!</v>
      </c>
      <c r="K484" s="155">
        <f t="shared" si="128"/>
        <v>-1</v>
      </c>
      <c r="N484" s="139">
        <f t="shared" si="126"/>
        <v>0</v>
      </c>
      <c r="O484" s="139">
        <f t="shared" si="127"/>
        <v>1</v>
      </c>
      <c r="P484" s="155"/>
      <c r="Q484" s="186"/>
      <c r="R484" s="186" t="s">
        <v>873</v>
      </c>
      <c r="S484" s="139"/>
      <c r="V484" s="139"/>
    </row>
    <row r="485" spans="1:22">
      <c r="A485" s="186">
        <f t="shared" si="123"/>
        <v>12</v>
      </c>
      <c r="E485" s="141" t="s">
        <v>1829</v>
      </c>
      <c r="F485" s="141" t="s">
        <v>1756</v>
      </c>
      <c r="G485" s="154" t="str">
        <f t="shared" si="129"/>
        <v>12/</v>
      </c>
      <c r="H485" s="141" t="str">
        <f t="shared" si="130"/>
        <v>12/</v>
      </c>
      <c r="I485" s="139" t="e">
        <f t="shared" si="124"/>
        <v>#NUM!</v>
      </c>
      <c r="J485" s="139" t="e">
        <f t="shared" si="125"/>
        <v>#NUM!</v>
      </c>
      <c r="K485" s="155">
        <f t="shared" si="128"/>
        <v>-1</v>
      </c>
      <c r="N485" s="139">
        <f t="shared" si="126"/>
        <v>0</v>
      </c>
      <c r="O485" s="139">
        <f t="shared" si="127"/>
        <v>1</v>
      </c>
      <c r="P485" s="155"/>
      <c r="Q485" s="186"/>
      <c r="R485" s="186" t="s">
        <v>873</v>
      </c>
      <c r="S485" s="139"/>
      <c r="V485" s="139"/>
    </row>
    <row r="486" spans="1:22">
      <c r="A486" s="186">
        <f t="shared" si="123"/>
        <v>12</v>
      </c>
      <c r="E486" s="141" t="s">
        <v>1829</v>
      </c>
      <c r="F486" s="141" t="s">
        <v>1756</v>
      </c>
      <c r="G486" s="154" t="str">
        <f t="shared" si="129"/>
        <v>12/</v>
      </c>
      <c r="H486" s="141" t="str">
        <f t="shared" si="130"/>
        <v>12/</v>
      </c>
      <c r="I486" s="139" t="e">
        <f t="shared" si="124"/>
        <v>#NUM!</v>
      </c>
      <c r="J486" s="139" t="e">
        <f t="shared" si="125"/>
        <v>#NUM!</v>
      </c>
      <c r="K486" s="155">
        <f t="shared" si="128"/>
        <v>-1</v>
      </c>
      <c r="N486" s="139">
        <f t="shared" si="126"/>
        <v>0</v>
      </c>
      <c r="O486" s="139">
        <f t="shared" si="127"/>
        <v>1</v>
      </c>
      <c r="P486" s="155"/>
      <c r="Q486" s="186"/>
      <c r="R486" s="186" t="s">
        <v>873</v>
      </c>
      <c r="S486" s="139"/>
      <c r="V486" s="139"/>
    </row>
    <row r="487" spans="1:22">
      <c r="A487" s="186">
        <f t="shared" si="123"/>
        <v>12</v>
      </c>
      <c r="E487" s="141" t="s">
        <v>1829</v>
      </c>
      <c r="F487" s="141" t="s">
        <v>1756</v>
      </c>
      <c r="G487" s="154" t="str">
        <f t="shared" si="129"/>
        <v>12/</v>
      </c>
      <c r="H487" s="141" t="str">
        <f t="shared" si="130"/>
        <v>12/</v>
      </c>
      <c r="I487" s="139" t="e">
        <f t="shared" si="124"/>
        <v>#NUM!</v>
      </c>
      <c r="J487" s="139" t="e">
        <f t="shared" si="125"/>
        <v>#NUM!</v>
      </c>
      <c r="K487" s="155">
        <f t="shared" si="128"/>
        <v>-1</v>
      </c>
      <c r="N487" s="139">
        <f t="shared" si="126"/>
        <v>0</v>
      </c>
      <c r="O487" s="139">
        <f t="shared" si="127"/>
        <v>1</v>
      </c>
      <c r="P487" s="155"/>
      <c r="Q487" s="186"/>
      <c r="R487" s="186" t="s">
        <v>873</v>
      </c>
      <c r="S487" s="139"/>
      <c r="V487" s="139"/>
    </row>
    <row r="488" spans="1:22">
      <c r="A488" s="186">
        <f t="shared" si="123"/>
        <v>12</v>
      </c>
      <c r="E488" s="141" t="s">
        <v>1829</v>
      </c>
      <c r="F488" s="141" t="s">
        <v>1756</v>
      </c>
      <c r="G488" s="154" t="str">
        <f t="shared" si="129"/>
        <v>12/</v>
      </c>
      <c r="H488" s="141" t="str">
        <f t="shared" si="130"/>
        <v>12/</v>
      </c>
      <c r="I488" s="139" t="e">
        <f t="shared" si="124"/>
        <v>#NUM!</v>
      </c>
      <c r="J488" s="139" t="e">
        <f t="shared" si="125"/>
        <v>#NUM!</v>
      </c>
      <c r="K488" s="155">
        <f t="shared" si="128"/>
        <v>-1</v>
      </c>
      <c r="N488" s="139">
        <f t="shared" si="126"/>
        <v>0</v>
      </c>
      <c r="O488" s="139">
        <f t="shared" si="127"/>
        <v>1</v>
      </c>
      <c r="P488" s="155"/>
      <c r="Q488" s="186"/>
      <c r="R488" s="186" t="s">
        <v>873</v>
      </c>
      <c r="S488" s="139"/>
      <c r="V488" s="139"/>
    </row>
    <row r="489" spans="1:22">
      <c r="A489" s="186">
        <f t="shared" si="123"/>
        <v>12</v>
      </c>
      <c r="E489" s="141" t="s">
        <v>1829</v>
      </c>
      <c r="F489" s="141" t="s">
        <v>1756</v>
      </c>
      <c r="G489" s="154" t="str">
        <f t="shared" si="129"/>
        <v>12/</v>
      </c>
      <c r="H489" s="141" t="str">
        <f t="shared" si="130"/>
        <v>12/</v>
      </c>
      <c r="I489" s="139" t="e">
        <f t="shared" si="124"/>
        <v>#NUM!</v>
      </c>
      <c r="J489" s="139" t="e">
        <f t="shared" si="125"/>
        <v>#NUM!</v>
      </c>
      <c r="K489" s="155">
        <f t="shared" si="128"/>
        <v>-1</v>
      </c>
      <c r="N489" s="139">
        <f t="shared" si="126"/>
        <v>0</v>
      </c>
      <c r="O489" s="139">
        <f t="shared" si="127"/>
        <v>1</v>
      </c>
      <c r="P489" s="155"/>
      <c r="Q489" s="186"/>
      <c r="R489" s="186" t="s">
        <v>873</v>
      </c>
      <c r="S489" s="139"/>
      <c r="V489" s="139"/>
    </row>
    <row r="490" spans="1:22">
      <c r="A490" s="186">
        <f t="shared" ref="A490:A494" si="131">A489</f>
        <v>12</v>
      </c>
      <c r="E490" s="141" t="s">
        <v>1829</v>
      </c>
      <c r="F490" s="141" t="s">
        <v>1756</v>
      </c>
      <c r="G490" s="154" t="str">
        <f t="shared" si="129"/>
        <v>12/</v>
      </c>
      <c r="H490" s="141" t="str">
        <f t="shared" si="130"/>
        <v>12/</v>
      </c>
      <c r="I490" s="139" t="e">
        <f t="shared" si="124"/>
        <v>#NUM!</v>
      </c>
      <c r="J490" s="139" t="e">
        <f t="shared" si="125"/>
        <v>#NUM!</v>
      </c>
      <c r="K490" s="155">
        <f t="shared" si="128"/>
        <v>-1</v>
      </c>
      <c r="N490" s="139">
        <f t="shared" si="126"/>
        <v>0</v>
      </c>
      <c r="O490" s="139">
        <f t="shared" si="127"/>
        <v>1</v>
      </c>
      <c r="P490" s="155"/>
      <c r="Q490" s="186"/>
      <c r="R490" s="186" t="s">
        <v>873</v>
      </c>
      <c r="S490" s="139"/>
      <c r="V490" s="139"/>
    </row>
    <row r="491" spans="1:22">
      <c r="A491" s="186">
        <f t="shared" si="131"/>
        <v>12</v>
      </c>
      <c r="E491" s="141" t="s">
        <v>1829</v>
      </c>
      <c r="F491" s="141" t="s">
        <v>1756</v>
      </c>
      <c r="G491" s="154" t="str">
        <f t="shared" si="129"/>
        <v>12/</v>
      </c>
      <c r="H491" s="141" t="str">
        <f t="shared" si="130"/>
        <v>12/</v>
      </c>
      <c r="I491" s="139" t="e">
        <f t="shared" si="124"/>
        <v>#NUM!</v>
      </c>
      <c r="J491" s="139" t="e">
        <f t="shared" si="125"/>
        <v>#NUM!</v>
      </c>
      <c r="K491" s="155">
        <f t="shared" si="128"/>
        <v>-1</v>
      </c>
      <c r="N491" s="139">
        <f t="shared" si="126"/>
        <v>0</v>
      </c>
      <c r="O491" s="139">
        <f t="shared" si="127"/>
        <v>1</v>
      </c>
      <c r="P491" s="155"/>
      <c r="Q491" s="186"/>
      <c r="R491" s="186" t="s">
        <v>873</v>
      </c>
      <c r="S491" s="139"/>
      <c r="V491" s="139"/>
    </row>
    <row r="492" spans="1:22">
      <c r="A492" s="186">
        <f t="shared" si="131"/>
        <v>12</v>
      </c>
      <c r="E492" s="141" t="s">
        <v>1829</v>
      </c>
      <c r="F492" s="141" t="s">
        <v>1756</v>
      </c>
      <c r="G492" s="154" t="str">
        <f t="shared" si="129"/>
        <v>12/</v>
      </c>
      <c r="H492" s="141" t="str">
        <f t="shared" si="130"/>
        <v>12/</v>
      </c>
      <c r="I492" s="139" t="e">
        <f t="shared" si="124"/>
        <v>#NUM!</v>
      </c>
      <c r="J492" s="139" t="e">
        <f t="shared" si="125"/>
        <v>#NUM!</v>
      </c>
      <c r="K492" s="155">
        <f t="shared" si="128"/>
        <v>-1</v>
      </c>
      <c r="N492" s="139">
        <f t="shared" si="126"/>
        <v>0</v>
      </c>
      <c r="O492" s="139">
        <f t="shared" si="127"/>
        <v>1</v>
      </c>
      <c r="P492" s="155"/>
      <c r="Q492" s="186"/>
      <c r="R492" s="186" t="s">
        <v>873</v>
      </c>
      <c r="S492" s="139"/>
      <c r="V492" s="139"/>
    </row>
    <row r="493" spans="1:22">
      <c r="A493" s="186">
        <f t="shared" si="131"/>
        <v>12</v>
      </c>
      <c r="E493" s="141" t="s">
        <v>1829</v>
      </c>
      <c r="F493" s="141" t="s">
        <v>1756</v>
      </c>
      <c r="G493" s="154" t="str">
        <f t="shared" si="129"/>
        <v>12/</v>
      </c>
      <c r="H493" s="141" t="str">
        <f t="shared" si="130"/>
        <v>12/</v>
      </c>
      <c r="I493" s="139" t="e">
        <f t="shared" si="124"/>
        <v>#NUM!</v>
      </c>
      <c r="J493" s="139" t="e">
        <f t="shared" si="125"/>
        <v>#NUM!</v>
      </c>
      <c r="K493" s="155">
        <f t="shared" si="128"/>
        <v>-1</v>
      </c>
      <c r="N493" s="139">
        <f t="shared" si="126"/>
        <v>0</v>
      </c>
      <c r="O493" s="139">
        <f t="shared" si="127"/>
        <v>1</v>
      </c>
      <c r="P493" s="155"/>
      <c r="Q493" s="186"/>
      <c r="R493" s="186" t="s">
        <v>873</v>
      </c>
      <c r="S493" s="139"/>
      <c r="V493" s="139"/>
    </row>
    <row r="494" spans="1:22">
      <c r="A494" s="186">
        <f t="shared" si="131"/>
        <v>12</v>
      </c>
      <c r="E494" s="141" t="s">
        <v>1829</v>
      </c>
      <c r="F494" s="141" t="s">
        <v>1756</v>
      </c>
      <c r="G494" s="154" t="str">
        <f t="shared" si="129"/>
        <v>12/</v>
      </c>
      <c r="H494" s="141" t="str">
        <f t="shared" si="130"/>
        <v>12/</v>
      </c>
      <c r="I494" s="139" t="e">
        <f t="shared" si="124"/>
        <v>#NUM!</v>
      </c>
      <c r="J494" s="139" t="e">
        <f t="shared" si="125"/>
        <v>#NUM!</v>
      </c>
      <c r="K494" s="155">
        <f t="shared" si="128"/>
        <v>-1</v>
      </c>
      <c r="N494" s="139">
        <f t="shared" si="126"/>
        <v>0</v>
      </c>
      <c r="O494" s="139">
        <f t="shared" si="127"/>
        <v>1</v>
      </c>
      <c r="P494" s="155"/>
      <c r="Q494" s="186"/>
      <c r="R494" s="186" t="s">
        <v>873</v>
      </c>
      <c r="S494" s="139"/>
      <c r="V494" s="139"/>
    </row>
    <row r="495" spans="1:22">
      <c r="E495" s="141" t="s">
        <v>1829</v>
      </c>
      <c r="F495" s="141" t="s">
        <v>1756</v>
      </c>
      <c r="G495" s="154" t="str">
        <f t="shared" si="129"/>
        <v>/</v>
      </c>
      <c r="H495" s="141" t="str">
        <f t="shared" si="130"/>
        <v>/</v>
      </c>
      <c r="I495" s="139" t="e">
        <f t="shared" si="124"/>
        <v>#NUM!</v>
      </c>
      <c r="J495" s="139" t="e">
        <f t="shared" si="125"/>
        <v>#NUM!</v>
      </c>
      <c r="K495" s="155">
        <f t="shared" si="128"/>
        <v>-1</v>
      </c>
      <c r="N495" s="139">
        <f t="shared" si="126"/>
        <v>0</v>
      </c>
      <c r="O495" s="139">
        <f t="shared" si="127"/>
        <v>1</v>
      </c>
      <c r="P495" s="155"/>
      <c r="Q495" s="186"/>
      <c r="R495" s="186" t="s">
        <v>873</v>
      </c>
      <c r="S495" s="139"/>
      <c r="V495" s="139"/>
    </row>
    <row r="496" spans="1:22">
      <c r="E496" s="141" t="s">
        <v>1829</v>
      </c>
      <c r="F496" s="141" t="s">
        <v>1756</v>
      </c>
      <c r="G496" s="154" t="str">
        <f t="shared" si="129"/>
        <v>/</v>
      </c>
      <c r="H496" s="141" t="str">
        <f t="shared" si="130"/>
        <v>/</v>
      </c>
      <c r="I496" s="139" t="e">
        <f t="shared" si="124"/>
        <v>#NUM!</v>
      </c>
      <c r="J496" s="139" t="e">
        <f t="shared" si="125"/>
        <v>#NUM!</v>
      </c>
      <c r="K496" s="155">
        <f t="shared" si="128"/>
        <v>-1</v>
      </c>
      <c r="N496" s="139">
        <f t="shared" si="126"/>
        <v>0</v>
      </c>
      <c r="O496" s="139">
        <f t="shared" si="127"/>
        <v>1</v>
      </c>
      <c r="P496" s="155"/>
      <c r="Q496" s="186"/>
      <c r="R496" s="186" t="s">
        <v>873</v>
      </c>
      <c r="S496" s="139"/>
      <c r="V496" s="139"/>
    </row>
    <row r="497" spans="4:22">
      <c r="E497" s="141" t="s">
        <v>1829</v>
      </c>
      <c r="F497" s="141" t="s">
        <v>1756</v>
      </c>
      <c r="G497" s="154" t="str">
        <f t="shared" si="129"/>
        <v>/</v>
      </c>
      <c r="H497" s="141" t="str">
        <f t="shared" si="130"/>
        <v>/</v>
      </c>
      <c r="I497" s="139" t="e">
        <f t="shared" si="124"/>
        <v>#NUM!</v>
      </c>
      <c r="J497" s="139" t="e">
        <f t="shared" si="125"/>
        <v>#NUM!</v>
      </c>
      <c r="K497" s="155">
        <f t="shared" si="128"/>
        <v>-1</v>
      </c>
      <c r="N497" s="139">
        <f t="shared" si="126"/>
        <v>0</v>
      </c>
      <c r="O497" s="139">
        <f t="shared" si="127"/>
        <v>1</v>
      </c>
      <c r="P497" s="155"/>
      <c r="Q497" s="186"/>
      <c r="R497" s="186" t="s">
        <v>873</v>
      </c>
      <c r="S497" s="139"/>
      <c r="V497" s="139"/>
    </row>
    <row r="498" spans="4:22">
      <c r="E498" s="141" t="s">
        <v>1829</v>
      </c>
      <c r="F498" s="141" t="s">
        <v>1756</v>
      </c>
      <c r="G498" s="154" t="str">
        <f t="shared" si="129"/>
        <v>/</v>
      </c>
      <c r="H498" s="141" t="str">
        <f t="shared" si="130"/>
        <v>/</v>
      </c>
      <c r="I498" s="139" t="e">
        <f t="shared" si="124"/>
        <v>#NUM!</v>
      </c>
      <c r="J498" s="139" t="e">
        <f t="shared" si="125"/>
        <v>#NUM!</v>
      </c>
      <c r="K498" s="155">
        <f t="shared" si="128"/>
        <v>-1</v>
      </c>
      <c r="N498" s="139">
        <f t="shared" si="126"/>
        <v>0</v>
      </c>
      <c r="O498" s="139">
        <f t="shared" si="127"/>
        <v>1</v>
      </c>
      <c r="P498" s="155"/>
      <c r="Q498" s="186"/>
      <c r="R498" s="186" t="s">
        <v>873</v>
      </c>
      <c r="S498" s="139"/>
      <c r="V498" s="139"/>
    </row>
    <row r="499" spans="4:22">
      <c r="E499" s="141" t="s">
        <v>1829</v>
      </c>
      <c r="F499" s="141" t="s">
        <v>1756</v>
      </c>
      <c r="G499" s="154" t="str">
        <f t="shared" si="129"/>
        <v>/</v>
      </c>
      <c r="H499" s="141" t="str">
        <f t="shared" si="130"/>
        <v>/</v>
      </c>
      <c r="I499" s="139" t="e">
        <f t="shared" ref="I499:I562" si="132">DAY(K499)</f>
        <v>#NUM!</v>
      </c>
      <c r="J499" s="139" t="e">
        <f t="shared" ref="J499:J562" si="133">MONTH(K499)</f>
        <v>#NUM!</v>
      </c>
      <c r="K499" s="155">
        <f t="shared" si="128"/>
        <v>-1</v>
      </c>
      <c r="N499" s="139">
        <f t="shared" ref="N499:N562" si="134">DAY(P499)</f>
        <v>0</v>
      </c>
      <c r="O499" s="139">
        <f t="shared" ref="O499:O562" si="135">MONTH(P499)</f>
        <v>1</v>
      </c>
      <c r="P499" s="155"/>
      <c r="Q499" s="186"/>
      <c r="R499" s="186" t="s">
        <v>873</v>
      </c>
      <c r="S499" s="139"/>
      <c r="V499" s="139"/>
    </row>
    <row r="500" spans="4:22">
      <c r="E500" s="141" t="s">
        <v>1829</v>
      </c>
      <c r="F500" s="141" t="s">
        <v>1756</v>
      </c>
      <c r="G500" s="154" t="str">
        <f t="shared" si="129"/>
        <v>/</v>
      </c>
      <c r="H500" s="141" t="str">
        <f t="shared" si="130"/>
        <v>/</v>
      </c>
      <c r="I500" s="139" t="e">
        <f t="shared" si="132"/>
        <v>#NUM!</v>
      </c>
      <c r="J500" s="139" t="e">
        <f t="shared" si="133"/>
        <v>#NUM!</v>
      </c>
      <c r="K500" s="155">
        <f t="shared" si="128"/>
        <v>-1</v>
      </c>
      <c r="N500" s="139">
        <f t="shared" si="134"/>
        <v>0</v>
      </c>
      <c r="O500" s="139">
        <f t="shared" si="135"/>
        <v>1</v>
      </c>
      <c r="P500" s="155"/>
      <c r="Q500" s="186"/>
      <c r="R500" s="186" t="s">
        <v>873</v>
      </c>
      <c r="S500" s="139"/>
      <c r="V500" s="139"/>
    </row>
    <row r="501" spans="4:22">
      <c r="E501" s="141" t="s">
        <v>1829</v>
      </c>
      <c r="F501" s="141" t="s">
        <v>1756</v>
      </c>
      <c r="G501" s="154" t="str">
        <f t="shared" si="129"/>
        <v>/</v>
      </c>
      <c r="H501" s="141" t="str">
        <f t="shared" si="130"/>
        <v>/</v>
      </c>
      <c r="I501" s="139" t="e">
        <f t="shared" si="132"/>
        <v>#NUM!</v>
      </c>
      <c r="J501" s="139" t="e">
        <f t="shared" si="133"/>
        <v>#NUM!</v>
      </c>
      <c r="K501" s="155">
        <f t="shared" si="128"/>
        <v>-1</v>
      </c>
      <c r="N501" s="139">
        <f t="shared" si="134"/>
        <v>0</v>
      </c>
      <c r="O501" s="139">
        <f t="shared" si="135"/>
        <v>1</v>
      </c>
      <c r="P501" s="155"/>
      <c r="Q501" s="186"/>
      <c r="R501" s="186" t="s">
        <v>873</v>
      </c>
      <c r="S501" s="139"/>
      <c r="V501" s="139"/>
    </row>
    <row r="502" spans="4:22">
      <c r="E502" s="141" t="s">
        <v>1829</v>
      </c>
      <c r="F502" s="141" t="s">
        <v>1756</v>
      </c>
      <c r="G502" s="154" t="str">
        <f t="shared" si="129"/>
        <v>/</v>
      </c>
      <c r="H502" s="141" t="str">
        <f t="shared" si="130"/>
        <v>/</v>
      </c>
      <c r="I502" s="139" t="e">
        <f t="shared" si="132"/>
        <v>#NUM!</v>
      </c>
      <c r="J502" s="139" t="e">
        <f t="shared" si="133"/>
        <v>#NUM!</v>
      </c>
      <c r="K502" s="155">
        <f t="shared" si="128"/>
        <v>-1</v>
      </c>
      <c r="N502" s="139">
        <f t="shared" si="134"/>
        <v>0</v>
      </c>
      <c r="O502" s="139">
        <f t="shared" si="135"/>
        <v>1</v>
      </c>
      <c r="P502" s="155"/>
      <c r="Q502" s="186"/>
      <c r="R502" s="186" t="s">
        <v>873</v>
      </c>
      <c r="S502" s="139"/>
      <c r="V502" s="139"/>
    </row>
    <row r="503" spans="4:22">
      <c r="D503" s="139"/>
      <c r="E503" s="141" t="s">
        <v>1829</v>
      </c>
      <c r="F503" s="141" t="s">
        <v>1756</v>
      </c>
      <c r="G503" s="154" t="str">
        <f t="shared" si="129"/>
        <v>/</v>
      </c>
      <c r="H503" s="141" t="str">
        <f t="shared" si="130"/>
        <v>/</v>
      </c>
      <c r="I503" s="139" t="e">
        <f t="shared" si="132"/>
        <v>#NUM!</v>
      </c>
      <c r="J503" s="139" t="e">
        <f t="shared" si="133"/>
        <v>#NUM!</v>
      </c>
      <c r="K503" s="155">
        <f t="shared" si="128"/>
        <v>-1</v>
      </c>
      <c r="N503" s="139">
        <f t="shared" si="134"/>
        <v>0</v>
      </c>
      <c r="O503" s="139">
        <f t="shared" si="135"/>
        <v>1</v>
      </c>
      <c r="P503" s="155"/>
      <c r="Q503" s="186"/>
      <c r="R503" s="186" t="s">
        <v>873</v>
      </c>
      <c r="S503" s="139"/>
      <c r="V503" s="139"/>
    </row>
    <row r="504" spans="4:22">
      <c r="D504" s="139"/>
      <c r="E504" s="141" t="s">
        <v>1829</v>
      </c>
      <c r="F504" s="141" t="s">
        <v>1756</v>
      </c>
      <c r="G504" s="154" t="str">
        <f t="shared" si="129"/>
        <v>/</v>
      </c>
      <c r="H504" s="141" t="str">
        <f t="shared" si="130"/>
        <v>/</v>
      </c>
      <c r="I504" s="139" t="e">
        <f t="shared" si="132"/>
        <v>#NUM!</v>
      </c>
      <c r="J504" s="139" t="e">
        <f t="shared" si="133"/>
        <v>#NUM!</v>
      </c>
      <c r="K504" s="155">
        <f t="shared" si="128"/>
        <v>-1</v>
      </c>
      <c r="N504" s="139">
        <f t="shared" si="134"/>
        <v>0</v>
      </c>
      <c r="O504" s="139">
        <f t="shared" si="135"/>
        <v>1</v>
      </c>
      <c r="P504" s="155"/>
      <c r="Q504" s="186"/>
      <c r="R504" s="186" t="s">
        <v>873</v>
      </c>
      <c r="S504" s="139"/>
      <c r="V504" s="139"/>
    </row>
    <row r="505" spans="4:22">
      <c r="D505" s="139"/>
      <c r="E505" s="141" t="s">
        <v>1829</v>
      </c>
      <c r="F505" s="141" t="s">
        <v>1756</v>
      </c>
      <c r="G505" s="154" t="str">
        <f t="shared" si="129"/>
        <v>/</v>
      </c>
      <c r="H505" s="141" t="str">
        <f t="shared" si="130"/>
        <v>/</v>
      </c>
      <c r="I505" s="139" t="e">
        <f t="shared" si="132"/>
        <v>#NUM!</v>
      </c>
      <c r="J505" s="139" t="e">
        <f t="shared" si="133"/>
        <v>#NUM!</v>
      </c>
      <c r="K505" s="155">
        <f t="shared" si="128"/>
        <v>-1</v>
      </c>
      <c r="N505" s="139">
        <f t="shared" si="134"/>
        <v>0</v>
      </c>
      <c r="O505" s="139">
        <f t="shared" si="135"/>
        <v>1</v>
      </c>
      <c r="P505" s="155"/>
      <c r="Q505" s="186"/>
      <c r="R505" s="186" t="s">
        <v>873</v>
      </c>
      <c r="S505" s="139"/>
      <c r="V505" s="139"/>
    </row>
    <row r="506" spans="4:22">
      <c r="D506" s="139"/>
      <c r="E506" s="141" t="s">
        <v>1829</v>
      </c>
      <c r="F506" s="141" t="s">
        <v>1756</v>
      </c>
      <c r="G506" s="154" t="str">
        <f t="shared" si="129"/>
        <v>/</v>
      </c>
      <c r="H506" s="141" t="str">
        <f t="shared" si="130"/>
        <v>/</v>
      </c>
      <c r="I506" s="139" t="e">
        <f t="shared" si="132"/>
        <v>#NUM!</v>
      </c>
      <c r="J506" s="139" t="e">
        <f t="shared" si="133"/>
        <v>#NUM!</v>
      </c>
      <c r="K506" s="155">
        <f t="shared" ref="K506:K569" si="136">P506-1</f>
        <v>-1</v>
      </c>
      <c r="N506" s="139">
        <f t="shared" si="134"/>
        <v>0</v>
      </c>
      <c r="O506" s="139">
        <f t="shared" si="135"/>
        <v>1</v>
      </c>
      <c r="P506" s="155"/>
      <c r="Q506" s="186"/>
      <c r="R506" s="186" t="s">
        <v>873</v>
      </c>
      <c r="S506" s="139"/>
      <c r="V506" s="139"/>
    </row>
    <row r="507" spans="4:22">
      <c r="D507" s="139"/>
      <c r="E507" s="141" t="s">
        <v>1829</v>
      </c>
      <c r="F507" s="141" t="s">
        <v>1756</v>
      </c>
      <c r="G507" s="154" t="str">
        <f t="shared" si="129"/>
        <v>/</v>
      </c>
      <c r="H507" s="141" t="str">
        <f t="shared" si="130"/>
        <v>/</v>
      </c>
      <c r="I507" s="139" t="e">
        <f t="shared" si="132"/>
        <v>#NUM!</v>
      </c>
      <c r="J507" s="139" t="e">
        <f t="shared" si="133"/>
        <v>#NUM!</v>
      </c>
      <c r="K507" s="155">
        <f t="shared" si="136"/>
        <v>-1</v>
      </c>
      <c r="N507" s="139">
        <f t="shared" si="134"/>
        <v>0</v>
      </c>
      <c r="O507" s="139">
        <f t="shared" si="135"/>
        <v>1</v>
      </c>
      <c r="P507" s="155"/>
      <c r="Q507" s="186"/>
      <c r="R507" s="186" t="s">
        <v>873</v>
      </c>
      <c r="S507" s="139"/>
      <c r="V507" s="139"/>
    </row>
    <row r="508" spans="4:22">
      <c r="D508" s="139"/>
      <c r="E508" s="141" t="s">
        <v>1829</v>
      </c>
      <c r="F508" s="141" t="s">
        <v>1756</v>
      </c>
      <c r="G508" s="154" t="str">
        <f t="shared" si="129"/>
        <v>/</v>
      </c>
      <c r="H508" s="141" t="str">
        <f t="shared" si="130"/>
        <v>/</v>
      </c>
      <c r="I508" s="139" t="e">
        <f t="shared" si="132"/>
        <v>#NUM!</v>
      </c>
      <c r="J508" s="139" t="e">
        <f t="shared" si="133"/>
        <v>#NUM!</v>
      </c>
      <c r="K508" s="155">
        <f t="shared" si="136"/>
        <v>-1</v>
      </c>
      <c r="N508" s="139">
        <f t="shared" si="134"/>
        <v>0</v>
      </c>
      <c r="O508" s="139">
        <f t="shared" si="135"/>
        <v>1</v>
      </c>
      <c r="P508" s="155"/>
      <c r="Q508" s="186"/>
      <c r="R508" s="186" t="s">
        <v>873</v>
      </c>
      <c r="S508" s="139"/>
      <c r="V508" s="139"/>
    </row>
    <row r="509" spans="4:22">
      <c r="D509" s="139"/>
      <c r="E509" s="141" t="s">
        <v>1829</v>
      </c>
      <c r="F509" s="141" t="s">
        <v>1756</v>
      </c>
      <c r="G509" s="154" t="str">
        <f t="shared" si="129"/>
        <v>/</v>
      </c>
      <c r="H509" s="141" t="str">
        <f t="shared" si="130"/>
        <v>/</v>
      </c>
      <c r="I509" s="139" t="e">
        <f t="shared" si="132"/>
        <v>#NUM!</v>
      </c>
      <c r="J509" s="139" t="e">
        <f t="shared" si="133"/>
        <v>#NUM!</v>
      </c>
      <c r="K509" s="155">
        <f t="shared" si="136"/>
        <v>-1</v>
      </c>
      <c r="N509" s="139">
        <f t="shared" si="134"/>
        <v>0</v>
      </c>
      <c r="O509" s="139">
        <f t="shared" si="135"/>
        <v>1</v>
      </c>
      <c r="P509" s="155"/>
      <c r="Q509" s="186"/>
      <c r="R509" s="186" t="s">
        <v>873</v>
      </c>
      <c r="S509" s="139"/>
      <c r="V509" s="139"/>
    </row>
    <row r="510" spans="4:22">
      <c r="D510" s="139"/>
      <c r="E510" s="141" t="s">
        <v>1829</v>
      </c>
      <c r="F510" s="141" t="s">
        <v>1756</v>
      </c>
      <c r="G510" s="154" t="str">
        <f t="shared" si="129"/>
        <v>/</v>
      </c>
      <c r="H510" s="141" t="str">
        <f t="shared" si="130"/>
        <v>/</v>
      </c>
      <c r="I510" s="139" t="e">
        <f t="shared" si="132"/>
        <v>#NUM!</v>
      </c>
      <c r="J510" s="139" t="e">
        <f t="shared" si="133"/>
        <v>#NUM!</v>
      </c>
      <c r="K510" s="155">
        <f t="shared" si="136"/>
        <v>-1</v>
      </c>
      <c r="N510" s="139">
        <f t="shared" si="134"/>
        <v>0</v>
      </c>
      <c r="O510" s="139">
        <f t="shared" si="135"/>
        <v>1</v>
      </c>
      <c r="P510" s="155"/>
      <c r="Q510" s="186"/>
      <c r="R510" s="186" t="s">
        <v>873</v>
      </c>
      <c r="S510" s="139"/>
      <c r="V510" s="139"/>
    </row>
    <row r="511" spans="4:22">
      <c r="D511" s="139"/>
      <c r="E511" s="141" t="s">
        <v>1829</v>
      </c>
      <c r="F511" s="141" t="s">
        <v>1756</v>
      </c>
      <c r="G511" s="154" t="str">
        <f t="shared" si="129"/>
        <v>/</v>
      </c>
      <c r="H511" s="141" t="str">
        <f t="shared" si="130"/>
        <v>/</v>
      </c>
      <c r="I511" s="139" t="e">
        <f t="shared" si="132"/>
        <v>#NUM!</v>
      </c>
      <c r="J511" s="139" t="e">
        <f t="shared" si="133"/>
        <v>#NUM!</v>
      </c>
      <c r="K511" s="155">
        <f t="shared" si="136"/>
        <v>-1</v>
      </c>
      <c r="N511" s="139">
        <f t="shared" si="134"/>
        <v>0</v>
      </c>
      <c r="O511" s="139">
        <f t="shared" si="135"/>
        <v>1</v>
      </c>
      <c r="P511" s="155"/>
      <c r="Q511" s="186"/>
      <c r="R511" s="186" t="s">
        <v>873</v>
      </c>
      <c r="S511" s="139"/>
      <c r="V511" s="139"/>
    </row>
    <row r="512" spans="4:22">
      <c r="D512" s="139"/>
      <c r="E512" s="141" t="s">
        <v>1829</v>
      </c>
      <c r="F512" s="141" t="s">
        <v>1756</v>
      </c>
      <c r="G512" s="154" t="str">
        <f t="shared" si="129"/>
        <v>/</v>
      </c>
      <c r="H512" s="141" t="str">
        <f t="shared" si="130"/>
        <v>/</v>
      </c>
      <c r="I512" s="139" t="e">
        <f t="shared" si="132"/>
        <v>#NUM!</v>
      </c>
      <c r="J512" s="139" t="e">
        <f t="shared" si="133"/>
        <v>#NUM!</v>
      </c>
      <c r="K512" s="155">
        <f t="shared" si="136"/>
        <v>-1</v>
      </c>
      <c r="N512" s="139">
        <f t="shared" si="134"/>
        <v>0</v>
      </c>
      <c r="O512" s="139">
        <f t="shared" si="135"/>
        <v>1</v>
      </c>
      <c r="P512" s="155"/>
      <c r="Q512" s="186"/>
      <c r="R512" s="186" t="s">
        <v>873</v>
      </c>
      <c r="S512" s="139"/>
      <c r="V512" s="139"/>
    </row>
    <row r="513" spans="4:22">
      <c r="D513" s="139"/>
      <c r="E513" s="141" t="s">
        <v>1829</v>
      </c>
      <c r="F513" s="141" t="s">
        <v>1756</v>
      </c>
      <c r="G513" s="154" t="str">
        <f t="shared" ref="G513:G576" si="137">A513&amp;"/"&amp;B513</f>
        <v>/</v>
      </c>
      <c r="H513" s="141" t="str">
        <f t="shared" ref="H513:H576" si="138">A513&amp;"/"&amp;B513</f>
        <v>/</v>
      </c>
      <c r="I513" s="139" t="e">
        <f t="shared" si="132"/>
        <v>#NUM!</v>
      </c>
      <c r="J513" s="139" t="e">
        <f t="shared" si="133"/>
        <v>#NUM!</v>
      </c>
      <c r="K513" s="155">
        <f t="shared" si="136"/>
        <v>-1</v>
      </c>
      <c r="N513" s="139">
        <f t="shared" si="134"/>
        <v>0</v>
      </c>
      <c r="O513" s="139">
        <f t="shared" si="135"/>
        <v>1</v>
      </c>
      <c r="P513" s="155"/>
      <c r="Q513" s="186"/>
      <c r="R513" s="186" t="s">
        <v>873</v>
      </c>
      <c r="S513" s="139"/>
      <c r="V513" s="139"/>
    </row>
    <row r="514" spans="4:22">
      <c r="D514" s="139"/>
      <c r="E514" s="141" t="s">
        <v>1829</v>
      </c>
      <c r="F514" s="141" t="s">
        <v>1756</v>
      </c>
      <c r="G514" s="154" t="str">
        <f t="shared" si="137"/>
        <v>/</v>
      </c>
      <c r="H514" s="141" t="str">
        <f t="shared" si="138"/>
        <v>/</v>
      </c>
      <c r="I514" s="139" t="e">
        <f t="shared" si="132"/>
        <v>#NUM!</v>
      </c>
      <c r="J514" s="139" t="e">
        <f t="shared" si="133"/>
        <v>#NUM!</v>
      </c>
      <c r="K514" s="155">
        <f t="shared" si="136"/>
        <v>-1</v>
      </c>
      <c r="N514" s="139">
        <f t="shared" si="134"/>
        <v>0</v>
      </c>
      <c r="O514" s="139">
        <f t="shared" si="135"/>
        <v>1</v>
      </c>
      <c r="P514" s="155"/>
      <c r="Q514" s="186"/>
      <c r="R514" s="186" t="s">
        <v>873</v>
      </c>
      <c r="S514" s="139"/>
      <c r="V514" s="139"/>
    </row>
    <row r="515" spans="4:22">
      <c r="D515" s="139"/>
      <c r="E515" s="141" t="s">
        <v>1829</v>
      </c>
      <c r="F515" s="141" t="s">
        <v>1756</v>
      </c>
      <c r="G515" s="154" t="str">
        <f t="shared" si="137"/>
        <v>/</v>
      </c>
      <c r="H515" s="141" t="str">
        <f t="shared" si="138"/>
        <v>/</v>
      </c>
      <c r="I515" s="139" t="e">
        <f t="shared" si="132"/>
        <v>#NUM!</v>
      </c>
      <c r="J515" s="139" t="e">
        <f t="shared" si="133"/>
        <v>#NUM!</v>
      </c>
      <c r="K515" s="155">
        <f t="shared" si="136"/>
        <v>-1</v>
      </c>
      <c r="N515" s="139">
        <f t="shared" si="134"/>
        <v>0</v>
      </c>
      <c r="O515" s="139">
        <f t="shared" si="135"/>
        <v>1</v>
      </c>
      <c r="P515" s="155"/>
      <c r="Q515" s="186"/>
      <c r="R515" s="186" t="s">
        <v>873</v>
      </c>
      <c r="S515" s="139"/>
      <c r="V515" s="139"/>
    </row>
    <row r="516" spans="4:22">
      <c r="D516" s="139"/>
      <c r="E516" s="141" t="s">
        <v>1829</v>
      </c>
      <c r="F516" s="141" t="s">
        <v>1756</v>
      </c>
      <c r="G516" s="154" t="str">
        <f t="shared" si="137"/>
        <v>/</v>
      </c>
      <c r="H516" s="141" t="str">
        <f t="shared" si="138"/>
        <v>/</v>
      </c>
      <c r="I516" s="139" t="e">
        <f t="shared" si="132"/>
        <v>#NUM!</v>
      </c>
      <c r="J516" s="139" t="e">
        <f t="shared" si="133"/>
        <v>#NUM!</v>
      </c>
      <c r="K516" s="155">
        <f t="shared" si="136"/>
        <v>-1</v>
      </c>
      <c r="N516" s="139">
        <f t="shared" si="134"/>
        <v>0</v>
      </c>
      <c r="O516" s="139">
        <f t="shared" si="135"/>
        <v>1</v>
      </c>
      <c r="P516" s="155"/>
      <c r="Q516" s="186"/>
      <c r="R516" s="186" t="s">
        <v>873</v>
      </c>
      <c r="S516" s="139"/>
      <c r="V516" s="139"/>
    </row>
    <row r="517" spans="4:22">
      <c r="D517" s="139"/>
      <c r="E517" s="141" t="s">
        <v>1829</v>
      </c>
      <c r="F517" s="141" t="s">
        <v>1756</v>
      </c>
      <c r="G517" s="154" t="str">
        <f t="shared" si="137"/>
        <v>/</v>
      </c>
      <c r="H517" s="141" t="str">
        <f t="shared" si="138"/>
        <v>/</v>
      </c>
      <c r="I517" s="139" t="e">
        <f t="shared" si="132"/>
        <v>#NUM!</v>
      </c>
      <c r="J517" s="139" t="e">
        <f t="shared" si="133"/>
        <v>#NUM!</v>
      </c>
      <c r="K517" s="155">
        <f t="shared" si="136"/>
        <v>-1</v>
      </c>
      <c r="N517" s="139">
        <f t="shared" si="134"/>
        <v>0</v>
      </c>
      <c r="O517" s="139">
        <f t="shared" si="135"/>
        <v>1</v>
      </c>
      <c r="P517" s="155"/>
      <c r="Q517" s="186"/>
      <c r="R517" s="186" t="s">
        <v>873</v>
      </c>
      <c r="S517" s="139"/>
      <c r="V517" s="139"/>
    </row>
    <row r="518" spans="4:22">
      <c r="D518" s="139"/>
      <c r="E518" s="141" t="s">
        <v>1829</v>
      </c>
      <c r="F518" s="141" t="s">
        <v>1756</v>
      </c>
      <c r="G518" s="154" t="str">
        <f t="shared" si="137"/>
        <v>/</v>
      </c>
      <c r="H518" s="141" t="str">
        <f t="shared" si="138"/>
        <v>/</v>
      </c>
      <c r="I518" s="139" t="e">
        <f t="shared" si="132"/>
        <v>#NUM!</v>
      </c>
      <c r="J518" s="139" t="e">
        <f t="shared" si="133"/>
        <v>#NUM!</v>
      </c>
      <c r="K518" s="155">
        <f t="shared" si="136"/>
        <v>-1</v>
      </c>
      <c r="N518" s="139">
        <f t="shared" si="134"/>
        <v>0</v>
      </c>
      <c r="O518" s="139">
        <f t="shared" si="135"/>
        <v>1</v>
      </c>
      <c r="P518" s="155"/>
      <c r="Q518" s="186"/>
      <c r="R518" s="186" t="s">
        <v>873</v>
      </c>
      <c r="S518" s="139"/>
      <c r="V518" s="139"/>
    </row>
    <row r="519" spans="4:22">
      <c r="D519" s="139"/>
      <c r="E519" s="141" t="s">
        <v>1829</v>
      </c>
      <c r="F519" s="141" t="s">
        <v>1756</v>
      </c>
      <c r="G519" s="154" t="str">
        <f t="shared" si="137"/>
        <v>/</v>
      </c>
      <c r="H519" s="141" t="str">
        <f t="shared" si="138"/>
        <v>/</v>
      </c>
      <c r="I519" s="139" t="e">
        <f t="shared" si="132"/>
        <v>#NUM!</v>
      </c>
      <c r="J519" s="139" t="e">
        <f t="shared" si="133"/>
        <v>#NUM!</v>
      </c>
      <c r="K519" s="155">
        <f t="shared" si="136"/>
        <v>-1</v>
      </c>
      <c r="N519" s="139">
        <f t="shared" si="134"/>
        <v>0</v>
      </c>
      <c r="O519" s="139">
        <f t="shared" si="135"/>
        <v>1</v>
      </c>
      <c r="P519" s="155"/>
      <c r="Q519" s="186"/>
      <c r="R519" s="186" t="s">
        <v>873</v>
      </c>
      <c r="S519" s="139"/>
      <c r="V519" s="139"/>
    </row>
    <row r="520" spans="4:22">
      <c r="D520" s="139"/>
      <c r="E520" s="141" t="s">
        <v>1829</v>
      </c>
      <c r="F520" s="141" t="s">
        <v>1756</v>
      </c>
      <c r="G520" s="154" t="str">
        <f t="shared" si="137"/>
        <v>/</v>
      </c>
      <c r="H520" s="141" t="str">
        <f t="shared" si="138"/>
        <v>/</v>
      </c>
      <c r="I520" s="139" t="e">
        <f t="shared" si="132"/>
        <v>#NUM!</v>
      </c>
      <c r="J520" s="139" t="e">
        <f t="shared" si="133"/>
        <v>#NUM!</v>
      </c>
      <c r="K520" s="155">
        <f t="shared" si="136"/>
        <v>-1</v>
      </c>
      <c r="N520" s="139">
        <f t="shared" si="134"/>
        <v>0</v>
      </c>
      <c r="O520" s="139">
        <f t="shared" si="135"/>
        <v>1</v>
      </c>
      <c r="P520" s="155"/>
      <c r="Q520" s="186"/>
      <c r="R520" s="186" t="s">
        <v>873</v>
      </c>
      <c r="S520" s="139"/>
      <c r="V520" s="139"/>
    </row>
    <row r="521" spans="4:22">
      <c r="D521" s="139"/>
      <c r="E521" s="141" t="s">
        <v>1829</v>
      </c>
      <c r="F521" s="141" t="s">
        <v>1756</v>
      </c>
      <c r="G521" s="154" t="str">
        <f t="shared" si="137"/>
        <v>/</v>
      </c>
      <c r="H521" s="141" t="str">
        <f t="shared" si="138"/>
        <v>/</v>
      </c>
      <c r="I521" s="139" t="e">
        <f t="shared" si="132"/>
        <v>#NUM!</v>
      </c>
      <c r="J521" s="139" t="e">
        <f t="shared" si="133"/>
        <v>#NUM!</v>
      </c>
      <c r="K521" s="155">
        <f t="shared" si="136"/>
        <v>-1</v>
      </c>
      <c r="N521" s="139">
        <f t="shared" si="134"/>
        <v>0</v>
      </c>
      <c r="O521" s="139">
        <f t="shared" si="135"/>
        <v>1</v>
      </c>
      <c r="P521" s="155"/>
      <c r="Q521" s="186"/>
      <c r="R521" s="186" t="s">
        <v>873</v>
      </c>
      <c r="S521" s="139"/>
      <c r="V521" s="139"/>
    </row>
    <row r="522" spans="4:22">
      <c r="D522" s="139"/>
      <c r="E522" s="141" t="s">
        <v>1829</v>
      </c>
      <c r="F522" s="141" t="s">
        <v>1756</v>
      </c>
      <c r="G522" s="154" t="str">
        <f t="shared" si="137"/>
        <v>/</v>
      </c>
      <c r="H522" s="141" t="str">
        <f t="shared" si="138"/>
        <v>/</v>
      </c>
      <c r="I522" s="139" t="e">
        <f t="shared" si="132"/>
        <v>#NUM!</v>
      </c>
      <c r="J522" s="139" t="e">
        <f t="shared" si="133"/>
        <v>#NUM!</v>
      </c>
      <c r="K522" s="155">
        <f t="shared" si="136"/>
        <v>-1</v>
      </c>
      <c r="N522" s="139">
        <f t="shared" si="134"/>
        <v>0</v>
      </c>
      <c r="O522" s="139">
        <f t="shared" si="135"/>
        <v>1</v>
      </c>
      <c r="P522" s="155"/>
      <c r="Q522" s="186"/>
      <c r="R522" s="186" t="s">
        <v>873</v>
      </c>
      <c r="S522" s="139"/>
      <c r="V522" s="139"/>
    </row>
    <row r="523" spans="4:22">
      <c r="D523" s="139"/>
      <c r="E523" s="141" t="s">
        <v>1829</v>
      </c>
      <c r="F523" s="141" t="s">
        <v>1756</v>
      </c>
      <c r="G523" s="154" t="str">
        <f t="shared" si="137"/>
        <v>/</v>
      </c>
      <c r="H523" s="141" t="str">
        <f t="shared" si="138"/>
        <v>/</v>
      </c>
      <c r="I523" s="139" t="e">
        <f t="shared" si="132"/>
        <v>#NUM!</v>
      </c>
      <c r="J523" s="139" t="e">
        <f t="shared" si="133"/>
        <v>#NUM!</v>
      </c>
      <c r="K523" s="155">
        <f t="shared" si="136"/>
        <v>-1</v>
      </c>
      <c r="N523" s="139">
        <f t="shared" si="134"/>
        <v>0</v>
      </c>
      <c r="O523" s="139">
        <f t="shared" si="135"/>
        <v>1</v>
      </c>
      <c r="P523" s="155"/>
      <c r="Q523" s="186"/>
      <c r="R523" s="186" t="s">
        <v>873</v>
      </c>
      <c r="S523" s="139"/>
      <c r="V523" s="139"/>
    </row>
    <row r="524" spans="4:22">
      <c r="D524" s="139"/>
      <c r="E524" s="141" t="s">
        <v>1829</v>
      </c>
      <c r="F524" s="141" t="s">
        <v>1756</v>
      </c>
      <c r="G524" s="154" t="str">
        <f t="shared" si="137"/>
        <v>/</v>
      </c>
      <c r="H524" s="141" t="str">
        <f t="shared" si="138"/>
        <v>/</v>
      </c>
      <c r="I524" s="139" t="e">
        <f t="shared" si="132"/>
        <v>#NUM!</v>
      </c>
      <c r="J524" s="139" t="e">
        <f t="shared" si="133"/>
        <v>#NUM!</v>
      </c>
      <c r="K524" s="155">
        <f t="shared" si="136"/>
        <v>-1</v>
      </c>
      <c r="N524" s="139">
        <f t="shared" si="134"/>
        <v>0</v>
      </c>
      <c r="O524" s="139">
        <f t="shared" si="135"/>
        <v>1</v>
      </c>
      <c r="P524" s="155"/>
      <c r="Q524" s="186"/>
      <c r="R524" s="186" t="s">
        <v>873</v>
      </c>
      <c r="S524" s="139"/>
      <c r="V524" s="139"/>
    </row>
    <row r="525" spans="4:22">
      <c r="D525" s="139"/>
      <c r="E525" s="141" t="s">
        <v>1829</v>
      </c>
      <c r="F525" s="141" t="s">
        <v>1756</v>
      </c>
      <c r="G525" s="154" t="str">
        <f t="shared" si="137"/>
        <v>/</v>
      </c>
      <c r="H525" s="141" t="str">
        <f t="shared" si="138"/>
        <v>/</v>
      </c>
      <c r="I525" s="139" t="e">
        <f t="shared" si="132"/>
        <v>#NUM!</v>
      </c>
      <c r="J525" s="139" t="e">
        <f t="shared" si="133"/>
        <v>#NUM!</v>
      </c>
      <c r="K525" s="155">
        <f t="shared" si="136"/>
        <v>-1</v>
      </c>
      <c r="N525" s="139">
        <f t="shared" si="134"/>
        <v>0</v>
      </c>
      <c r="O525" s="139">
        <f t="shared" si="135"/>
        <v>1</v>
      </c>
      <c r="P525" s="155"/>
      <c r="Q525" s="186"/>
      <c r="R525" s="186" t="s">
        <v>873</v>
      </c>
      <c r="S525" s="139"/>
      <c r="V525" s="139"/>
    </row>
    <row r="526" spans="4:22">
      <c r="D526" s="139"/>
      <c r="E526" s="141" t="s">
        <v>1829</v>
      </c>
      <c r="F526" s="141" t="s">
        <v>1756</v>
      </c>
      <c r="G526" s="154" t="str">
        <f t="shared" si="137"/>
        <v>/</v>
      </c>
      <c r="H526" s="141" t="str">
        <f t="shared" si="138"/>
        <v>/</v>
      </c>
      <c r="I526" s="139" t="e">
        <f t="shared" si="132"/>
        <v>#NUM!</v>
      </c>
      <c r="J526" s="139" t="e">
        <f t="shared" si="133"/>
        <v>#NUM!</v>
      </c>
      <c r="K526" s="155">
        <f t="shared" si="136"/>
        <v>-1</v>
      </c>
      <c r="N526" s="139">
        <f t="shared" si="134"/>
        <v>0</v>
      </c>
      <c r="O526" s="139">
        <f t="shared" si="135"/>
        <v>1</v>
      </c>
      <c r="P526" s="155"/>
      <c r="Q526" s="186"/>
      <c r="R526" s="186" t="s">
        <v>873</v>
      </c>
      <c r="S526" s="139"/>
      <c r="V526" s="139"/>
    </row>
    <row r="527" spans="4:22">
      <c r="D527" s="139"/>
      <c r="E527" s="141" t="s">
        <v>1829</v>
      </c>
      <c r="F527" s="141" t="s">
        <v>1756</v>
      </c>
      <c r="G527" s="154" t="str">
        <f t="shared" si="137"/>
        <v>/</v>
      </c>
      <c r="H527" s="141" t="str">
        <f t="shared" si="138"/>
        <v>/</v>
      </c>
      <c r="I527" s="139" t="e">
        <f t="shared" si="132"/>
        <v>#NUM!</v>
      </c>
      <c r="J527" s="139" t="e">
        <f t="shared" si="133"/>
        <v>#NUM!</v>
      </c>
      <c r="K527" s="155">
        <f t="shared" si="136"/>
        <v>-1</v>
      </c>
      <c r="N527" s="139">
        <f t="shared" si="134"/>
        <v>0</v>
      </c>
      <c r="O527" s="139">
        <f t="shared" si="135"/>
        <v>1</v>
      </c>
      <c r="P527" s="155"/>
      <c r="Q527" s="186"/>
      <c r="R527" s="186" t="s">
        <v>873</v>
      </c>
      <c r="S527" s="139"/>
      <c r="V527" s="139"/>
    </row>
    <row r="528" spans="4:22">
      <c r="D528" s="139"/>
      <c r="E528" s="141" t="s">
        <v>1829</v>
      </c>
      <c r="F528" s="141" t="s">
        <v>1756</v>
      </c>
      <c r="G528" s="154" t="str">
        <f t="shared" si="137"/>
        <v>/</v>
      </c>
      <c r="H528" s="141" t="str">
        <f t="shared" si="138"/>
        <v>/</v>
      </c>
      <c r="I528" s="139" t="e">
        <f t="shared" si="132"/>
        <v>#NUM!</v>
      </c>
      <c r="J528" s="139" t="e">
        <f t="shared" si="133"/>
        <v>#NUM!</v>
      </c>
      <c r="K528" s="155">
        <f t="shared" si="136"/>
        <v>-1</v>
      </c>
      <c r="N528" s="139">
        <f t="shared" si="134"/>
        <v>0</v>
      </c>
      <c r="O528" s="139">
        <f t="shared" si="135"/>
        <v>1</v>
      </c>
      <c r="P528" s="155"/>
      <c r="Q528" s="186"/>
      <c r="R528" s="186" t="s">
        <v>873</v>
      </c>
      <c r="S528" s="139"/>
      <c r="V528" s="139"/>
    </row>
    <row r="529" spans="4:22">
      <c r="D529" s="139"/>
      <c r="E529" s="141" t="s">
        <v>1829</v>
      </c>
      <c r="F529" s="141" t="s">
        <v>1756</v>
      </c>
      <c r="G529" s="154" t="str">
        <f t="shared" si="137"/>
        <v>/</v>
      </c>
      <c r="H529" s="141" t="str">
        <f t="shared" si="138"/>
        <v>/</v>
      </c>
      <c r="I529" s="139" t="e">
        <f t="shared" si="132"/>
        <v>#NUM!</v>
      </c>
      <c r="J529" s="139" t="e">
        <f t="shared" si="133"/>
        <v>#NUM!</v>
      </c>
      <c r="K529" s="155">
        <f t="shared" si="136"/>
        <v>-1</v>
      </c>
      <c r="N529" s="139">
        <f t="shared" si="134"/>
        <v>0</v>
      </c>
      <c r="O529" s="139">
        <f t="shared" si="135"/>
        <v>1</v>
      </c>
      <c r="P529" s="155"/>
      <c r="Q529" s="186"/>
      <c r="R529" s="186" t="s">
        <v>873</v>
      </c>
      <c r="S529" s="139"/>
      <c r="V529" s="139"/>
    </row>
    <row r="530" spans="4:22">
      <c r="D530" s="139"/>
      <c r="E530" s="141" t="s">
        <v>1829</v>
      </c>
      <c r="F530" s="141" t="s">
        <v>1756</v>
      </c>
      <c r="G530" s="154" t="str">
        <f t="shared" si="137"/>
        <v>/</v>
      </c>
      <c r="H530" s="141" t="str">
        <f t="shared" si="138"/>
        <v>/</v>
      </c>
      <c r="I530" s="139" t="e">
        <f t="shared" si="132"/>
        <v>#NUM!</v>
      </c>
      <c r="J530" s="139" t="e">
        <f t="shared" si="133"/>
        <v>#NUM!</v>
      </c>
      <c r="K530" s="155">
        <f t="shared" si="136"/>
        <v>-1</v>
      </c>
      <c r="N530" s="139">
        <f t="shared" si="134"/>
        <v>0</v>
      </c>
      <c r="O530" s="139">
        <f t="shared" si="135"/>
        <v>1</v>
      </c>
      <c r="P530" s="155"/>
      <c r="Q530" s="186"/>
      <c r="R530" s="186" t="s">
        <v>873</v>
      </c>
      <c r="S530" s="139"/>
      <c r="V530" s="139"/>
    </row>
    <row r="531" spans="4:22">
      <c r="D531" s="139"/>
      <c r="E531" s="141" t="s">
        <v>1829</v>
      </c>
      <c r="F531" s="141" t="s">
        <v>1756</v>
      </c>
      <c r="G531" s="154" t="str">
        <f t="shared" si="137"/>
        <v>/</v>
      </c>
      <c r="H531" s="141" t="str">
        <f t="shared" si="138"/>
        <v>/</v>
      </c>
      <c r="I531" s="139" t="e">
        <f t="shared" si="132"/>
        <v>#NUM!</v>
      </c>
      <c r="J531" s="139" t="e">
        <f t="shared" si="133"/>
        <v>#NUM!</v>
      </c>
      <c r="K531" s="155">
        <f t="shared" si="136"/>
        <v>-1</v>
      </c>
      <c r="N531" s="139">
        <f t="shared" si="134"/>
        <v>0</v>
      </c>
      <c r="O531" s="139">
        <f t="shared" si="135"/>
        <v>1</v>
      </c>
      <c r="P531" s="155"/>
      <c r="Q531" s="186"/>
      <c r="R531" s="186" t="s">
        <v>873</v>
      </c>
      <c r="S531" s="139"/>
      <c r="V531" s="139"/>
    </row>
    <row r="532" spans="4:22">
      <c r="D532" s="139"/>
      <c r="E532" s="141" t="s">
        <v>1829</v>
      </c>
      <c r="F532" s="141" t="s">
        <v>1756</v>
      </c>
      <c r="G532" s="154" t="str">
        <f t="shared" si="137"/>
        <v>/</v>
      </c>
      <c r="H532" s="141" t="str">
        <f t="shared" si="138"/>
        <v>/</v>
      </c>
      <c r="I532" s="139" t="e">
        <f t="shared" si="132"/>
        <v>#NUM!</v>
      </c>
      <c r="J532" s="139" t="e">
        <f t="shared" si="133"/>
        <v>#NUM!</v>
      </c>
      <c r="K532" s="155">
        <f t="shared" si="136"/>
        <v>-1</v>
      </c>
      <c r="N532" s="139">
        <f t="shared" si="134"/>
        <v>0</v>
      </c>
      <c r="O532" s="139">
        <f t="shared" si="135"/>
        <v>1</v>
      </c>
      <c r="P532" s="155"/>
      <c r="Q532" s="186"/>
      <c r="R532" s="186" t="s">
        <v>873</v>
      </c>
      <c r="S532" s="139"/>
      <c r="V532" s="139"/>
    </row>
    <row r="533" spans="4:22">
      <c r="D533" s="139"/>
      <c r="E533" s="141" t="s">
        <v>1829</v>
      </c>
      <c r="F533" s="141" t="s">
        <v>1756</v>
      </c>
      <c r="G533" s="154" t="str">
        <f t="shared" si="137"/>
        <v>/</v>
      </c>
      <c r="H533" s="141" t="str">
        <f t="shared" si="138"/>
        <v>/</v>
      </c>
      <c r="I533" s="139" t="e">
        <f t="shared" si="132"/>
        <v>#NUM!</v>
      </c>
      <c r="J533" s="139" t="e">
        <f t="shared" si="133"/>
        <v>#NUM!</v>
      </c>
      <c r="K533" s="155">
        <f t="shared" si="136"/>
        <v>-1</v>
      </c>
      <c r="N533" s="139">
        <f t="shared" si="134"/>
        <v>0</v>
      </c>
      <c r="O533" s="139">
        <f t="shared" si="135"/>
        <v>1</v>
      </c>
      <c r="P533" s="155"/>
      <c r="Q533" s="186"/>
      <c r="R533" s="186" t="s">
        <v>873</v>
      </c>
      <c r="S533" s="139"/>
      <c r="V533" s="139"/>
    </row>
    <row r="534" spans="4:22">
      <c r="D534" s="139"/>
      <c r="E534" s="141" t="s">
        <v>1829</v>
      </c>
      <c r="F534" s="141" t="s">
        <v>1756</v>
      </c>
      <c r="G534" s="154" t="str">
        <f t="shared" si="137"/>
        <v>/</v>
      </c>
      <c r="H534" s="141" t="str">
        <f t="shared" si="138"/>
        <v>/</v>
      </c>
      <c r="I534" s="139" t="e">
        <f t="shared" si="132"/>
        <v>#NUM!</v>
      </c>
      <c r="J534" s="139" t="e">
        <f t="shared" si="133"/>
        <v>#NUM!</v>
      </c>
      <c r="K534" s="155">
        <f t="shared" si="136"/>
        <v>-1</v>
      </c>
      <c r="N534" s="139">
        <f t="shared" si="134"/>
        <v>0</v>
      </c>
      <c r="O534" s="139">
        <f t="shared" si="135"/>
        <v>1</v>
      </c>
      <c r="P534" s="155"/>
      <c r="Q534" s="186"/>
      <c r="R534" s="186" t="s">
        <v>873</v>
      </c>
      <c r="S534" s="139"/>
      <c r="V534" s="139"/>
    </row>
    <row r="535" spans="4:22">
      <c r="D535" s="139"/>
      <c r="E535" s="141" t="s">
        <v>1829</v>
      </c>
      <c r="F535" s="141" t="s">
        <v>1756</v>
      </c>
      <c r="G535" s="154" t="str">
        <f t="shared" si="137"/>
        <v>/</v>
      </c>
      <c r="H535" s="141" t="str">
        <f t="shared" si="138"/>
        <v>/</v>
      </c>
      <c r="I535" s="139" t="e">
        <f t="shared" si="132"/>
        <v>#NUM!</v>
      </c>
      <c r="J535" s="139" t="e">
        <f t="shared" si="133"/>
        <v>#NUM!</v>
      </c>
      <c r="K535" s="155">
        <f t="shared" si="136"/>
        <v>-1</v>
      </c>
      <c r="N535" s="139">
        <f t="shared" si="134"/>
        <v>0</v>
      </c>
      <c r="O535" s="139">
        <f t="shared" si="135"/>
        <v>1</v>
      </c>
      <c r="P535" s="155"/>
      <c r="Q535" s="186"/>
      <c r="R535" s="186" t="s">
        <v>873</v>
      </c>
      <c r="S535" s="139"/>
      <c r="V535" s="139"/>
    </row>
    <row r="536" spans="4:22">
      <c r="D536" s="139"/>
      <c r="E536" s="141" t="s">
        <v>1829</v>
      </c>
      <c r="F536" s="141" t="s">
        <v>1756</v>
      </c>
      <c r="G536" s="154" t="str">
        <f t="shared" si="137"/>
        <v>/</v>
      </c>
      <c r="H536" s="141" t="str">
        <f t="shared" si="138"/>
        <v>/</v>
      </c>
      <c r="I536" s="139" t="e">
        <f t="shared" si="132"/>
        <v>#NUM!</v>
      </c>
      <c r="J536" s="139" t="e">
        <f t="shared" si="133"/>
        <v>#NUM!</v>
      </c>
      <c r="K536" s="155">
        <f t="shared" si="136"/>
        <v>-1</v>
      </c>
      <c r="N536" s="139">
        <f t="shared" si="134"/>
        <v>0</v>
      </c>
      <c r="O536" s="139">
        <f t="shared" si="135"/>
        <v>1</v>
      </c>
      <c r="P536" s="155"/>
      <c r="Q536" s="186"/>
      <c r="R536" s="186" t="s">
        <v>873</v>
      </c>
      <c r="S536" s="139"/>
      <c r="V536" s="139"/>
    </row>
    <row r="537" spans="4:22">
      <c r="D537" s="139"/>
      <c r="E537" s="141" t="s">
        <v>1829</v>
      </c>
      <c r="F537" s="141" t="s">
        <v>1756</v>
      </c>
      <c r="G537" s="154" t="str">
        <f t="shared" si="137"/>
        <v>/</v>
      </c>
      <c r="H537" s="141" t="str">
        <f t="shared" si="138"/>
        <v>/</v>
      </c>
      <c r="I537" s="139" t="e">
        <f t="shared" si="132"/>
        <v>#NUM!</v>
      </c>
      <c r="J537" s="139" t="e">
        <f t="shared" si="133"/>
        <v>#NUM!</v>
      </c>
      <c r="K537" s="155">
        <f t="shared" si="136"/>
        <v>-1</v>
      </c>
      <c r="N537" s="139">
        <f t="shared" si="134"/>
        <v>0</v>
      </c>
      <c r="O537" s="139">
        <f t="shared" si="135"/>
        <v>1</v>
      </c>
      <c r="P537" s="155"/>
      <c r="Q537" s="186"/>
      <c r="R537" s="186" t="s">
        <v>873</v>
      </c>
      <c r="S537" s="139"/>
      <c r="V537" s="139"/>
    </row>
    <row r="538" spans="4:22">
      <c r="D538" s="139"/>
      <c r="E538" s="141" t="s">
        <v>1829</v>
      </c>
      <c r="F538" s="141" t="s">
        <v>1756</v>
      </c>
      <c r="G538" s="154" t="str">
        <f t="shared" si="137"/>
        <v>/</v>
      </c>
      <c r="H538" s="141" t="str">
        <f t="shared" si="138"/>
        <v>/</v>
      </c>
      <c r="I538" s="139" t="e">
        <f t="shared" si="132"/>
        <v>#NUM!</v>
      </c>
      <c r="J538" s="139" t="e">
        <f t="shared" si="133"/>
        <v>#NUM!</v>
      </c>
      <c r="K538" s="155">
        <f t="shared" si="136"/>
        <v>-1</v>
      </c>
      <c r="N538" s="139">
        <f t="shared" si="134"/>
        <v>0</v>
      </c>
      <c r="O538" s="139">
        <f t="shared" si="135"/>
        <v>1</v>
      </c>
      <c r="P538" s="155"/>
      <c r="Q538" s="186"/>
      <c r="R538" s="186" t="s">
        <v>873</v>
      </c>
      <c r="S538" s="139"/>
      <c r="V538" s="139"/>
    </row>
    <row r="539" spans="4:22">
      <c r="D539" s="139"/>
      <c r="E539" s="141" t="s">
        <v>1829</v>
      </c>
      <c r="F539" s="141" t="s">
        <v>1756</v>
      </c>
      <c r="G539" s="154" t="str">
        <f t="shared" si="137"/>
        <v>/</v>
      </c>
      <c r="H539" s="141" t="str">
        <f t="shared" si="138"/>
        <v>/</v>
      </c>
      <c r="I539" s="139" t="e">
        <f t="shared" si="132"/>
        <v>#NUM!</v>
      </c>
      <c r="J539" s="139" t="e">
        <f t="shared" si="133"/>
        <v>#NUM!</v>
      </c>
      <c r="K539" s="155">
        <f t="shared" si="136"/>
        <v>-1</v>
      </c>
      <c r="N539" s="139">
        <f t="shared" si="134"/>
        <v>0</v>
      </c>
      <c r="O539" s="139">
        <f t="shared" si="135"/>
        <v>1</v>
      </c>
      <c r="P539" s="155"/>
      <c r="Q539" s="186"/>
      <c r="R539" s="186" t="s">
        <v>873</v>
      </c>
      <c r="S539" s="139"/>
      <c r="V539" s="139"/>
    </row>
    <row r="540" spans="4:22">
      <c r="D540" s="139"/>
      <c r="E540" s="141" t="s">
        <v>1829</v>
      </c>
      <c r="F540" s="141" t="s">
        <v>1756</v>
      </c>
      <c r="G540" s="154" t="str">
        <f t="shared" si="137"/>
        <v>/</v>
      </c>
      <c r="H540" s="141" t="str">
        <f t="shared" si="138"/>
        <v>/</v>
      </c>
      <c r="I540" s="139" t="e">
        <f t="shared" si="132"/>
        <v>#NUM!</v>
      </c>
      <c r="J540" s="139" t="e">
        <f t="shared" si="133"/>
        <v>#NUM!</v>
      </c>
      <c r="K540" s="155">
        <f t="shared" si="136"/>
        <v>-1</v>
      </c>
      <c r="N540" s="139">
        <f t="shared" si="134"/>
        <v>0</v>
      </c>
      <c r="O540" s="139">
        <f t="shared" si="135"/>
        <v>1</v>
      </c>
      <c r="P540" s="155"/>
      <c r="Q540" s="186"/>
      <c r="R540" s="186" t="s">
        <v>873</v>
      </c>
      <c r="S540" s="139"/>
      <c r="V540" s="139"/>
    </row>
    <row r="541" spans="4:22">
      <c r="D541" s="139"/>
      <c r="E541" s="141" t="s">
        <v>1829</v>
      </c>
      <c r="F541" s="141" t="s">
        <v>1756</v>
      </c>
      <c r="G541" s="154" t="str">
        <f t="shared" si="137"/>
        <v>/</v>
      </c>
      <c r="H541" s="141" t="str">
        <f t="shared" si="138"/>
        <v>/</v>
      </c>
      <c r="I541" s="139" t="e">
        <f t="shared" si="132"/>
        <v>#NUM!</v>
      </c>
      <c r="J541" s="139" t="e">
        <f t="shared" si="133"/>
        <v>#NUM!</v>
      </c>
      <c r="K541" s="155">
        <f t="shared" si="136"/>
        <v>-1</v>
      </c>
      <c r="N541" s="139">
        <f t="shared" si="134"/>
        <v>0</v>
      </c>
      <c r="O541" s="139">
        <f t="shared" si="135"/>
        <v>1</v>
      </c>
      <c r="P541" s="155"/>
      <c r="Q541" s="186"/>
      <c r="R541" s="186" t="s">
        <v>873</v>
      </c>
      <c r="S541" s="139"/>
      <c r="V541" s="139"/>
    </row>
    <row r="542" spans="4:22">
      <c r="D542" s="139"/>
      <c r="E542" s="141" t="s">
        <v>1829</v>
      </c>
      <c r="F542" s="141" t="s">
        <v>1756</v>
      </c>
      <c r="G542" s="154" t="str">
        <f t="shared" si="137"/>
        <v>/</v>
      </c>
      <c r="H542" s="141" t="str">
        <f t="shared" si="138"/>
        <v>/</v>
      </c>
      <c r="I542" s="139" t="e">
        <f t="shared" si="132"/>
        <v>#NUM!</v>
      </c>
      <c r="J542" s="139" t="e">
        <f t="shared" si="133"/>
        <v>#NUM!</v>
      </c>
      <c r="K542" s="155">
        <f t="shared" si="136"/>
        <v>-1</v>
      </c>
      <c r="N542" s="139">
        <f t="shared" si="134"/>
        <v>0</v>
      </c>
      <c r="O542" s="139">
        <f t="shared" si="135"/>
        <v>1</v>
      </c>
      <c r="P542" s="155"/>
      <c r="Q542" s="186"/>
      <c r="R542" s="186" t="s">
        <v>873</v>
      </c>
      <c r="S542" s="139"/>
      <c r="V542" s="139"/>
    </row>
    <row r="543" spans="4:22">
      <c r="D543" s="139"/>
      <c r="E543" s="141" t="s">
        <v>1829</v>
      </c>
      <c r="F543" s="141" t="s">
        <v>1756</v>
      </c>
      <c r="G543" s="154" t="str">
        <f t="shared" si="137"/>
        <v>/</v>
      </c>
      <c r="H543" s="141" t="str">
        <f t="shared" si="138"/>
        <v>/</v>
      </c>
      <c r="I543" s="139" t="e">
        <f t="shared" si="132"/>
        <v>#NUM!</v>
      </c>
      <c r="J543" s="139" t="e">
        <f t="shared" si="133"/>
        <v>#NUM!</v>
      </c>
      <c r="K543" s="155">
        <f t="shared" si="136"/>
        <v>-1</v>
      </c>
      <c r="N543" s="139">
        <f t="shared" si="134"/>
        <v>0</v>
      </c>
      <c r="O543" s="139">
        <f t="shared" si="135"/>
        <v>1</v>
      </c>
      <c r="P543" s="155"/>
      <c r="Q543" s="186"/>
      <c r="R543" s="186" t="s">
        <v>873</v>
      </c>
      <c r="S543" s="139"/>
      <c r="V543" s="139"/>
    </row>
    <row r="544" spans="4:22">
      <c r="D544" s="139"/>
      <c r="E544" s="141" t="s">
        <v>1829</v>
      </c>
      <c r="F544" s="141" t="s">
        <v>1756</v>
      </c>
      <c r="G544" s="154" t="str">
        <f t="shared" si="137"/>
        <v>/</v>
      </c>
      <c r="H544" s="141" t="str">
        <f t="shared" si="138"/>
        <v>/</v>
      </c>
      <c r="I544" s="139" t="e">
        <f t="shared" si="132"/>
        <v>#NUM!</v>
      </c>
      <c r="J544" s="139" t="e">
        <f t="shared" si="133"/>
        <v>#NUM!</v>
      </c>
      <c r="K544" s="155">
        <f t="shared" si="136"/>
        <v>-1</v>
      </c>
      <c r="N544" s="139">
        <f t="shared" si="134"/>
        <v>0</v>
      </c>
      <c r="O544" s="139">
        <f t="shared" si="135"/>
        <v>1</v>
      </c>
      <c r="P544" s="155"/>
      <c r="Q544" s="186"/>
      <c r="R544" s="186" t="s">
        <v>873</v>
      </c>
      <c r="S544" s="139"/>
      <c r="V544" s="139"/>
    </row>
    <row r="545" spans="4:22">
      <c r="D545" s="139"/>
      <c r="E545" s="141" t="s">
        <v>1829</v>
      </c>
      <c r="F545" s="141" t="s">
        <v>1756</v>
      </c>
      <c r="G545" s="154" t="str">
        <f t="shared" si="137"/>
        <v>/</v>
      </c>
      <c r="H545" s="141" t="str">
        <f t="shared" si="138"/>
        <v>/</v>
      </c>
      <c r="I545" s="139" t="e">
        <f t="shared" si="132"/>
        <v>#NUM!</v>
      </c>
      <c r="J545" s="139" t="e">
        <f t="shared" si="133"/>
        <v>#NUM!</v>
      </c>
      <c r="K545" s="155">
        <f t="shared" si="136"/>
        <v>-1</v>
      </c>
      <c r="N545" s="139">
        <f t="shared" si="134"/>
        <v>0</v>
      </c>
      <c r="O545" s="139">
        <f t="shared" si="135"/>
        <v>1</v>
      </c>
      <c r="P545" s="155"/>
      <c r="Q545" s="186"/>
      <c r="R545" s="186" t="s">
        <v>873</v>
      </c>
      <c r="S545" s="139"/>
      <c r="V545" s="139"/>
    </row>
    <row r="546" spans="4:22">
      <c r="D546" s="139"/>
      <c r="E546" s="141" t="s">
        <v>1829</v>
      </c>
      <c r="F546" s="141" t="s">
        <v>1756</v>
      </c>
      <c r="G546" s="154" t="str">
        <f t="shared" si="137"/>
        <v>/</v>
      </c>
      <c r="H546" s="141" t="str">
        <f t="shared" si="138"/>
        <v>/</v>
      </c>
      <c r="I546" s="139" t="e">
        <f t="shared" si="132"/>
        <v>#NUM!</v>
      </c>
      <c r="J546" s="139" t="e">
        <f t="shared" si="133"/>
        <v>#NUM!</v>
      </c>
      <c r="K546" s="155">
        <f t="shared" si="136"/>
        <v>-1</v>
      </c>
      <c r="N546" s="139">
        <f t="shared" si="134"/>
        <v>0</v>
      </c>
      <c r="O546" s="139">
        <f t="shared" si="135"/>
        <v>1</v>
      </c>
      <c r="P546" s="155"/>
      <c r="Q546" s="186"/>
      <c r="R546" s="186" t="s">
        <v>873</v>
      </c>
      <c r="S546" s="139"/>
      <c r="V546" s="139"/>
    </row>
    <row r="547" spans="4:22">
      <c r="D547" s="139"/>
      <c r="E547" s="141" t="s">
        <v>1829</v>
      </c>
      <c r="F547" s="141" t="s">
        <v>1756</v>
      </c>
      <c r="G547" s="154" t="str">
        <f t="shared" si="137"/>
        <v>/</v>
      </c>
      <c r="H547" s="141" t="str">
        <f t="shared" si="138"/>
        <v>/</v>
      </c>
      <c r="I547" s="139" t="e">
        <f t="shared" si="132"/>
        <v>#NUM!</v>
      </c>
      <c r="J547" s="139" t="e">
        <f t="shared" si="133"/>
        <v>#NUM!</v>
      </c>
      <c r="K547" s="155">
        <f t="shared" si="136"/>
        <v>-1</v>
      </c>
      <c r="N547" s="139">
        <f t="shared" si="134"/>
        <v>0</v>
      </c>
      <c r="O547" s="139">
        <f t="shared" si="135"/>
        <v>1</v>
      </c>
      <c r="P547" s="155"/>
      <c r="Q547" s="186"/>
      <c r="R547" s="186" t="s">
        <v>873</v>
      </c>
      <c r="S547" s="139"/>
      <c r="V547" s="139"/>
    </row>
    <row r="548" spans="4:22">
      <c r="D548" s="139"/>
      <c r="E548" s="141" t="s">
        <v>1829</v>
      </c>
      <c r="F548" s="141" t="s">
        <v>1756</v>
      </c>
      <c r="G548" s="154" t="str">
        <f t="shared" si="137"/>
        <v>/</v>
      </c>
      <c r="H548" s="141" t="str">
        <f t="shared" si="138"/>
        <v>/</v>
      </c>
      <c r="I548" s="139" t="e">
        <f t="shared" si="132"/>
        <v>#NUM!</v>
      </c>
      <c r="J548" s="139" t="e">
        <f t="shared" si="133"/>
        <v>#NUM!</v>
      </c>
      <c r="K548" s="155">
        <f t="shared" si="136"/>
        <v>-1</v>
      </c>
      <c r="N548" s="139">
        <f t="shared" si="134"/>
        <v>0</v>
      </c>
      <c r="O548" s="139">
        <f t="shared" si="135"/>
        <v>1</v>
      </c>
      <c r="P548" s="155"/>
      <c r="Q548" s="186"/>
      <c r="R548" s="186" t="s">
        <v>873</v>
      </c>
      <c r="S548" s="139"/>
      <c r="V548" s="139"/>
    </row>
    <row r="549" spans="4:22">
      <c r="D549" s="139"/>
      <c r="E549" s="141" t="s">
        <v>1829</v>
      </c>
      <c r="F549" s="141" t="s">
        <v>1756</v>
      </c>
      <c r="G549" s="154" t="str">
        <f t="shared" si="137"/>
        <v>/</v>
      </c>
      <c r="H549" s="141" t="str">
        <f t="shared" si="138"/>
        <v>/</v>
      </c>
      <c r="I549" s="139" t="e">
        <f t="shared" si="132"/>
        <v>#NUM!</v>
      </c>
      <c r="J549" s="139" t="e">
        <f t="shared" si="133"/>
        <v>#NUM!</v>
      </c>
      <c r="K549" s="155">
        <f t="shared" si="136"/>
        <v>-1</v>
      </c>
      <c r="N549" s="139">
        <f t="shared" si="134"/>
        <v>0</v>
      </c>
      <c r="O549" s="139">
        <f t="shared" si="135"/>
        <v>1</v>
      </c>
      <c r="P549" s="155"/>
      <c r="Q549" s="186"/>
      <c r="R549" s="186" t="s">
        <v>873</v>
      </c>
      <c r="S549" s="139"/>
      <c r="V549" s="139"/>
    </row>
    <row r="550" spans="4:22">
      <c r="D550" s="139"/>
      <c r="E550" s="141" t="s">
        <v>1829</v>
      </c>
      <c r="F550" s="141" t="s">
        <v>1756</v>
      </c>
      <c r="G550" s="154" t="str">
        <f t="shared" si="137"/>
        <v>/</v>
      </c>
      <c r="H550" s="141" t="str">
        <f t="shared" si="138"/>
        <v>/</v>
      </c>
      <c r="I550" s="139" t="e">
        <f t="shared" si="132"/>
        <v>#NUM!</v>
      </c>
      <c r="J550" s="139" t="e">
        <f t="shared" si="133"/>
        <v>#NUM!</v>
      </c>
      <c r="K550" s="155">
        <f t="shared" si="136"/>
        <v>-1</v>
      </c>
      <c r="N550" s="139">
        <f t="shared" si="134"/>
        <v>0</v>
      </c>
      <c r="O550" s="139">
        <f t="shared" si="135"/>
        <v>1</v>
      </c>
      <c r="P550" s="155"/>
      <c r="Q550" s="186"/>
      <c r="R550" s="186" t="s">
        <v>873</v>
      </c>
      <c r="S550" s="139"/>
      <c r="V550" s="139"/>
    </row>
    <row r="551" spans="4:22">
      <c r="D551" s="139"/>
      <c r="E551" s="141" t="s">
        <v>1829</v>
      </c>
      <c r="F551" s="141" t="s">
        <v>1756</v>
      </c>
      <c r="G551" s="154" t="str">
        <f t="shared" si="137"/>
        <v>/</v>
      </c>
      <c r="H551" s="141" t="str">
        <f t="shared" si="138"/>
        <v>/</v>
      </c>
      <c r="I551" s="139" t="e">
        <f t="shared" si="132"/>
        <v>#NUM!</v>
      </c>
      <c r="J551" s="139" t="e">
        <f t="shared" si="133"/>
        <v>#NUM!</v>
      </c>
      <c r="K551" s="155">
        <f t="shared" si="136"/>
        <v>-1</v>
      </c>
      <c r="N551" s="139">
        <f t="shared" si="134"/>
        <v>0</v>
      </c>
      <c r="O551" s="139">
        <f t="shared" si="135"/>
        <v>1</v>
      </c>
      <c r="P551" s="155"/>
      <c r="Q551" s="186"/>
      <c r="R551" s="186" t="s">
        <v>873</v>
      </c>
      <c r="S551" s="139"/>
      <c r="V551" s="139"/>
    </row>
    <row r="552" spans="4:22">
      <c r="D552" s="139"/>
      <c r="E552" s="141" t="s">
        <v>1829</v>
      </c>
      <c r="F552" s="141" t="s">
        <v>1756</v>
      </c>
      <c r="G552" s="154" t="str">
        <f t="shared" si="137"/>
        <v>/</v>
      </c>
      <c r="H552" s="141" t="str">
        <f t="shared" si="138"/>
        <v>/</v>
      </c>
      <c r="I552" s="139" t="e">
        <f t="shared" si="132"/>
        <v>#NUM!</v>
      </c>
      <c r="J552" s="139" t="e">
        <f t="shared" si="133"/>
        <v>#NUM!</v>
      </c>
      <c r="K552" s="155">
        <f t="shared" si="136"/>
        <v>-1</v>
      </c>
      <c r="N552" s="139">
        <f t="shared" si="134"/>
        <v>0</v>
      </c>
      <c r="O552" s="139">
        <f t="shared" si="135"/>
        <v>1</v>
      </c>
      <c r="P552" s="155"/>
      <c r="Q552" s="186"/>
      <c r="R552" s="186" t="s">
        <v>873</v>
      </c>
      <c r="S552" s="139"/>
      <c r="V552" s="139"/>
    </row>
    <row r="553" spans="4:22">
      <c r="D553" s="139"/>
      <c r="E553" s="141" t="s">
        <v>1829</v>
      </c>
      <c r="F553" s="141" t="s">
        <v>1756</v>
      </c>
      <c r="G553" s="154" t="str">
        <f t="shared" si="137"/>
        <v>/</v>
      </c>
      <c r="H553" s="141" t="str">
        <f t="shared" si="138"/>
        <v>/</v>
      </c>
      <c r="I553" s="139" t="e">
        <f t="shared" si="132"/>
        <v>#NUM!</v>
      </c>
      <c r="J553" s="139" t="e">
        <f t="shared" si="133"/>
        <v>#NUM!</v>
      </c>
      <c r="K553" s="155">
        <f t="shared" si="136"/>
        <v>-1</v>
      </c>
      <c r="N553" s="139">
        <f t="shared" si="134"/>
        <v>0</v>
      </c>
      <c r="O553" s="139">
        <f t="shared" si="135"/>
        <v>1</v>
      </c>
      <c r="P553" s="155"/>
      <c r="Q553" s="186"/>
      <c r="R553" s="186" t="s">
        <v>873</v>
      </c>
      <c r="S553" s="139"/>
      <c r="V553" s="139"/>
    </row>
    <row r="554" spans="4:22">
      <c r="D554" s="139"/>
      <c r="E554" s="141" t="s">
        <v>1829</v>
      </c>
      <c r="F554" s="141" t="s">
        <v>1756</v>
      </c>
      <c r="G554" s="154" t="str">
        <f t="shared" si="137"/>
        <v>/</v>
      </c>
      <c r="H554" s="141" t="str">
        <f t="shared" si="138"/>
        <v>/</v>
      </c>
      <c r="I554" s="139" t="e">
        <f t="shared" si="132"/>
        <v>#NUM!</v>
      </c>
      <c r="J554" s="139" t="e">
        <f t="shared" si="133"/>
        <v>#NUM!</v>
      </c>
      <c r="K554" s="155">
        <f t="shared" si="136"/>
        <v>-1</v>
      </c>
      <c r="N554" s="139">
        <f t="shared" si="134"/>
        <v>0</v>
      </c>
      <c r="O554" s="139">
        <f t="shared" si="135"/>
        <v>1</v>
      </c>
      <c r="P554" s="155"/>
      <c r="Q554" s="186"/>
      <c r="R554" s="186" t="s">
        <v>873</v>
      </c>
      <c r="S554" s="139"/>
      <c r="V554" s="139"/>
    </row>
    <row r="555" spans="4:22">
      <c r="D555" s="139"/>
      <c r="E555" s="141" t="s">
        <v>1829</v>
      </c>
      <c r="F555" s="141" t="s">
        <v>1756</v>
      </c>
      <c r="G555" s="154" t="str">
        <f t="shared" si="137"/>
        <v>/</v>
      </c>
      <c r="H555" s="141" t="str">
        <f t="shared" si="138"/>
        <v>/</v>
      </c>
      <c r="I555" s="139" t="e">
        <f t="shared" si="132"/>
        <v>#NUM!</v>
      </c>
      <c r="J555" s="139" t="e">
        <f t="shared" si="133"/>
        <v>#NUM!</v>
      </c>
      <c r="K555" s="155">
        <f t="shared" si="136"/>
        <v>-1</v>
      </c>
      <c r="N555" s="139">
        <f t="shared" si="134"/>
        <v>0</v>
      </c>
      <c r="O555" s="139">
        <f t="shared" si="135"/>
        <v>1</v>
      </c>
      <c r="P555" s="155"/>
      <c r="Q555" s="186"/>
      <c r="R555" s="186" t="s">
        <v>873</v>
      </c>
      <c r="S555" s="139"/>
      <c r="V555" s="139"/>
    </row>
    <row r="556" spans="4:22">
      <c r="D556" s="139"/>
      <c r="E556" s="141" t="s">
        <v>1829</v>
      </c>
      <c r="F556" s="141" t="s">
        <v>1756</v>
      </c>
      <c r="G556" s="154" t="str">
        <f t="shared" si="137"/>
        <v>/</v>
      </c>
      <c r="H556" s="141" t="str">
        <f t="shared" si="138"/>
        <v>/</v>
      </c>
      <c r="I556" s="139" t="e">
        <f t="shared" si="132"/>
        <v>#NUM!</v>
      </c>
      <c r="J556" s="139" t="e">
        <f t="shared" si="133"/>
        <v>#NUM!</v>
      </c>
      <c r="K556" s="155">
        <f t="shared" si="136"/>
        <v>-1</v>
      </c>
      <c r="N556" s="139">
        <f t="shared" si="134"/>
        <v>0</v>
      </c>
      <c r="O556" s="139">
        <f t="shared" si="135"/>
        <v>1</v>
      </c>
      <c r="P556" s="155"/>
      <c r="Q556" s="186"/>
      <c r="R556" s="186" t="s">
        <v>873</v>
      </c>
      <c r="S556" s="139"/>
      <c r="V556" s="139"/>
    </row>
    <row r="557" spans="4:22">
      <c r="D557" s="139"/>
      <c r="E557" s="141" t="s">
        <v>1829</v>
      </c>
      <c r="F557" s="141" t="s">
        <v>1756</v>
      </c>
      <c r="G557" s="154" t="str">
        <f t="shared" si="137"/>
        <v>/</v>
      </c>
      <c r="H557" s="141" t="str">
        <f t="shared" si="138"/>
        <v>/</v>
      </c>
      <c r="I557" s="139" t="e">
        <f t="shared" si="132"/>
        <v>#NUM!</v>
      </c>
      <c r="J557" s="139" t="e">
        <f t="shared" si="133"/>
        <v>#NUM!</v>
      </c>
      <c r="K557" s="155">
        <f t="shared" si="136"/>
        <v>-1</v>
      </c>
      <c r="N557" s="139">
        <f t="shared" si="134"/>
        <v>0</v>
      </c>
      <c r="O557" s="139">
        <f t="shared" si="135"/>
        <v>1</v>
      </c>
      <c r="P557" s="155"/>
      <c r="Q557" s="186"/>
      <c r="R557" s="186" t="s">
        <v>873</v>
      </c>
      <c r="S557" s="139"/>
      <c r="V557" s="139"/>
    </row>
    <row r="558" spans="4:22">
      <c r="D558" s="139"/>
      <c r="E558" s="141" t="s">
        <v>1829</v>
      </c>
      <c r="F558" s="141" t="s">
        <v>1756</v>
      </c>
      <c r="G558" s="154" t="str">
        <f t="shared" si="137"/>
        <v>/</v>
      </c>
      <c r="H558" s="141" t="str">
        <f t="shared" si="138"/>
        <v>/</v>
      </c>
      <c r="I558" s="139" t="e">
        <f t="shared" si="132"/>
        <v>#NUM!</v>
      </c>
      <c r="J558" s="139" t="e">
        <f t="shared" si="133"/>
        <v>#NUM!</v>
      </c>
      <c r="K558" s="155">
        <f t="shared" si="136"/>
        <v>-1</v>
      </c>
      <c r="N558" s="139">
        <f t="shared" si="134"/>
        <v>0</v>
      </c>
      <c r="O558" s="139">
        <f t="shared" si="135"/>
        <v>1</v>
      </c>
      <c r="P558" s="155"/>
      <c r="Q558" s="186"/>
      <c r="R558" s="186" t="s">
        <v>873</v>
      </c>
      <c r="S558" s="139"/>
      <c r="V558" s="139"/>
    </row>
    <row r="559" spans="4:22">
      <c r="D559" s="139"/>
      <c r="E559" s="141" t="s">
        <v>1829</v>
      </c>
      <c r="F559" s="141" t="s">
        <v>1756</v>
      </c>
      <c r="G559" s="154" t="str">
        <f t="shared" si="137"/>
        <v>/</v>
      </c>
      <c r="H559" s="141" t="str">
        <f t="shared" si="138"/>
        <v>/</v>
      </c>
      <c r="I559" s="139" t="e">
        <f t="shared" si="132"/>
        <v>#NUM!</v>
      </c>
      <c r="J559" s="139" t="e">
        <f t="shared" si="133"/>
        <v>#NUM!</v>
      </c>
      <c r="K559" s="155">
        <f t="shared" si="136"/>
        <v>-1</v>
      </c>
      <c r="N559" s="139">
        <f t="shared" si="134"/>
        <v>0</v>
      </c>
      <c r="O559" s="139">
        <f t="shared" si="135"/>
        <v>1</v>
      </c>
      <c r="P559" s="155"/>
      <c r="Q559" s="186"/>
      <c r="R559" s="186" t="s">
        <v>873</v>
      </c>
      <c r="S559" s="139"/>
      <c r="V559" s="139"/>
    </row>
    <row r="560" spans="4:22">
      <c r="D560" s="139"/>
      <c r="E560" s="141" t="s">
        <v>1829</v>
      </c>
      <c r="F560" s="141" t="s">
        <v>1756</v>
      </c>
      <c r="G560" s="154" t="str">
        <f t="shared" si="137"/>
        <v>/</v>
      </c>
      <c r="H560" s="141" t="str">
        <f t="shared" si="138"/>
        <v>/</v>
      </c>
      <c r="I560" s="139" t="e">
        <f t="shared" si="132"/>
        <v>#NUM!</v>
      </c>
      <c r="J560" s="139" t="e">
        <f t="shared" si="133"/>
        <v>#NUM!</v>
      </c>
      <c r="K560" s="155">
        <f t="shared" si="136"/>
        <v>-1</v>
      </c>
      <c r="N560" s="139">
        <f t="shared" si="134"/>
        <v>0</v>
      </c>
      <c r="O560" s="139">
        <f t="shared" si="135"/>
        <v>1</v>
      </c>
      <c r="P560" s="155"/>
      <c r="Q560" s="186"/>
      <c r="R560" s="186" t="s">
        <v>873</v>
      </c>
      <c r="S560" s="139"/>
      <c r="V560" s="139"/>
    </row>
    <row r="561" spans="4:22">
      <c r="D561" s="139"/>
      <c r="E561" s="141" t="s">
        <v>1829</v>
      </c>
      <c r="F561" s="141" t="s">
        <v>1756</v>
      </c>
      <c r="G561" s="154" t="str">
        <f t="shared" si="137"/>
        <v>/</v>
      </c>
      <c r="H561" s="141" t="str">
        <f t="shared" si="138"/>
        <v>/</v>
      </c>
      <c r="I561" s="139" t="e">
        <f t="shared" si="132"/>
        <v>#NUM!</v>
      </c>
      <c r="J561" s="139" t="e">
        <f t="shared" si="133"/>
        <v>#NUM!</v>
      </c>
      <c r="K561" s="155">
        <f t="shared" si="136"/>
        <v>-1</v>
      </c>
      <c r="N561" s="139">
        <f t="shared" si="134"/>
        <v>0</v>
      </c>
      <c r="O561" s="139">
        <f t="shared" si="135"/>
        <v>1</v>
      </c>
      <c r="P561" s="155"/>
      <c r="Q561" s="186"/>
      <c r="R561" s="186" t="s">
        <v>873</v>
      </c>
      <c r="S561" s="139"/>
      <c r="V561" s="139"/>
    </row>
    <row r="562" spans="4:22">
      <c r="D562" s="139"/>
      <c r="E562" s="141" t="s">
        <v>1829</v>
      </c>
      <c r="F562" s="141" t="s">
        <v>1756</v>
      </c>
      <c r="G562" s="154" t="str">
        <f t="shared" si="137"/>
        <v>/</v>
      </c>
      <c r="H562" s="141" t="str">
        <f t="shared" si="138"/>
        <v>/</v>
      </c>
      <c r="I562" s="139" t="e">
        <f t="shared" si="132"/>
        <v>#NUM!</v>
      </c>
      <c r="J562" s="139" t="e">
        <f t="shared" si="133"/>
        <v>#NUM!</v>
      </c>
      <c r="K562" s="155">
        <f t="shared" si="136"/>
        <v>-1</v>
      </c>
      <c r="N562" s="139">
        <f t="shared" si="134"/>
        <v>0</v>
      </c>
      <c r="O562" s="139">
        <f t="shared" si="135"/>
        <v>1</v>
      </c>
      <c r="P562" s="155"/>
      <c r="Q562" s="186"/>
      <c r="R562" s="186" t="s">
        <v>873</v>
      </c>
      <c r="S562" s="139"/>
      <c r="V562" s="139"/>
    </row>
    <row r="563" spans="4:22">
      <c r="D563" s="139"/>
      <c r="E563" s="141" t="s">
        <v>1829</v>
      </c>
      <c r="F563" s="141" t="s">
        <v>1756</v>
      </c>
      <c r="G563" s="154" t="str">
        <f t="shared" si="137"/>
        <v>/</v>
      </c>
      <c r="H563" s="141" t="str">
        <f t="shared" si="138"/>
        <v>/</v>
      </c>
      <c r="I563" s="139" t="e">
        <f t="shared" ref="I563:I626" si="139">DAY(K563)</f>
        <v>#NUM!</v>
      </c>
      <c r="J563" s="139" t="e">
        <f t="shared" ref="J563:J626" si="140">MONTH(K563)</f>
        <v>#NUM!</v>
      </c>
      <c r="K563" s="155">
        <f t="shared" si="136"/>
        <v>-1</v>
      </c>
      <c r="N563" s="139">
        <f t="shared" ref="N563:N626" si="141">DAY(P563)</f>
        <v>0</v>
      </c>
      <c r="O563" s="139">
        <f t="shared" ref="O563:O626" si="142">MONTH(P563)</f>
        <v>1</v>
      </c>
      <c r="P563" s="155"/>
      <c r="Q563" s="186"/>
      <c r="R563" s="186" t="s">
        <v>873</v>
      </c>
      <c r="S563" s="139"/>
      <c r="V563" s="139"/>
    </row>
    <row r="564" spans="4:22">
      <c r="D564" s="139"/>
      <c r="E564" s="141" t="s">
        <v>1829</v>
      </c>
      <c r="F564" s="141" t="s">
        <v>1756</v>
      </c>
      <c r="G564" s="154" t="str">
        <f t="shared" si="137"/>
        <v>/</v>
      </c>
      <c r="H564" s="141" t="str">
        <f t="shared" si="138"/>
        <v>/</v>
      </c>
      <c r="I564" s="139" t="e">
        <f t="shared" si="139"/>
        <v>#NUM!</v>
      </c>
      <c r="J564" s="139" t="e">
        <f t="shared" si="140"/>
        <v>#NUM!</v>
      </c>
      <c r="K564" s="155">
        <f t="shared" si="136"/>
        <v>-1</v>
      </c>
      <c r="N564" s="139">
        <f t="shared" si="141"/>
        <v>0</v>
      </c>
      <c r="O564" s="139">
        <f t="shared" si="142"/>
        <v>1</v>
      </c>
      <c r="P564" s="155"/>
      <c r="Q564" s="186"/>
      <c r="R564" s="186" t="s">
        <v>873</v>
      </c>
      <c r="S564" s="139"/>
      <c r="V564" s="139"/>
    </row>
    <row r="565" spans="4:22">
      <c r="D565" s="139"/>
      <c r="E565" s="141" t="s">
        <v>1829</v>
      </c>
      <c r="F565" s="141" t="s">
        <v>1756</v>
      </c>
      <c r="G565" s="154" t="str">
        <f t="shared" si="137"/>
        <v>/</v>
      </c>
      <c r="H565" s="141" t="str">
        <f t="shared" si="138"/>
        <v>/</v>
      </c>
      <c r="I565" s="139" t="e">
        <f t="shared" si="139"/>
        <v>#NUM!</v>
      </c>
      <c r="J565" s="139" t="e">
        <f t="shared" si="140"/>
        <v>#NUM!</v>
      </c>
      <c r="K565" s="155">
        <f t="shared" si="136"/>
        <v>-1</v>
      </c>
      <c r="N565" s="139">
        <f t="shared" si="141"/>
        <v>0</v>
      </c>
      <c r="O565" s="139">
        <f t="shared" si="142"/>
        <v>1</v>
      </c>
      <c r="P565" s="155"/>
      <c r="Q565" s="186"/>
      <c r="R565" s="186" t="s">
        <v>873</v>
      </c>
      <c r="S565" s="139"/>
      <c r="V565" s="139"/>
    </row>
    <row r="566" spans="4:22">
      <c r="D566" s="139"/>
      <c r="E566" s="141" t="s">
        <v>1829</v>
      </c>
      <c r="F566" s="141" t="s">
        <v>1756</v>
      </c>
      <c r="G566" s="154" t="str">
        <f t="shared" si="137"/>
        <v>/</v>
      </c>
      <c r="H566" s="141" t="str">
        <f t="shared" si="138"/>
        <v>/</v>
      </c>
      <c r="I566" s="139" t="e">
        <f t="shared" si="139"/>
        <v>#NUM!</v>
      </c>
      <c r="J566" s="139" t="e">
        <f t="shared" si="140"/>
        <v>#NUM!</v>
      </c>
      <c r="K566" s="155">
        <f t="shared" si="136"/>
        <v>-1</v>
      </c>
      <c r="N566" s="139">
        <f t="shared" si="141"/>
        <v>0</v>
      </c>
      <c r="O566" s="139">
        <f t="shared" si="142"/>
        <v>1</v>
      </c>
      <c r="P566" s="155"/>
      <c r="Q566" s="186"/>
      <c r="R566" s="186" t="s">
        <v>873</v>
      </c>
      <c r="S566" s="139"/>
      <c r="V566" s="139"/>
    </row>
    <row r="567" spans="4:22">
      <c r="D567" s="139"/>
      <c r="E567" s="141" t="s">
        <v>1829</v>
      </c>
      <c r="F567" s="141" t="s">
        <v>1756</v>
      </c>
      <c r="G567" s="154" t="str">
        <f t="shared" si="137"/>
        <v>/</v>
      </c>
      <c r="H567" s="141" t="str">
        <f t="shared" si="138"/>
        <v>/</v>
      </c>
      <c r="I567" s="139" t="e">
        <f t="shared" si="139"/>
        <v>#NUM!</v>
      </c>
      <c r="J567" s="139" t="e">
        <f t="shared" si="140"/>
        <v>#NUM!</v>
      </c>
      <c r="K567" s="155">
        <f t="shared" si="136"/>
        <v>-1</v>
      </c>
      <c r="N567" s="139">
        <f t="shared" si="141"/>
        <v>0</v>
      </c>
      <c r="O567" s="139">
        <f t="shared" si="142"/>
        <v>1</v>
      </c>
      <c r="P567" s="155"/>
      <c r="Q567" s="186"/>
      <c r="R567" s="186" t="s">
        <v>873</v>
      </c>
      <c r="S567" s="139"/>
      <c r="V567" s="139"/>
    </row>
    <row r="568" spans="4:22">
      <c r="D568" s="139"/>
      <c r="E568" s="141" t="s">
        <v>1829</v>
      </c>
      <c r="F568" s="141" t="s">
        <v>1756</v>
      </c>
      <c r="G568" s="154" t="str">
        <f t="shared" si="137"/>
        <v>/</v>
      </c>
      <c r="H568" s="141" t="str">
        <f t="shared" si="138"/>
        <v>/</v>
      </c>
      <c r="I568" s="139" t="e">
        <f t="shared" si="139"/>
        <v>#NUM!</v>
      </c>
      <c r="J568" s="139" t="e">
        <f t="shared" si="140"/>
        <v>#NUM!</v>
      </c>
      <c r="K568" s="155">
        <f t="shared" si="136"/>
        <v>-1</v>
      </c>
      <c r="N568" s="139">
        <f t="shared" si="141"/>
        <v>0</v>
      </c>
      <c r="O568" s="139">
        <f t="shared" si="142"/>
        <v>1</v>
      </c>
      <c r="P568" s="155"/>
      <c r="Q568" s="186"/>
      <c r="R568" s="186" t="s">
        <v>873</v>
      </c>
      <c r="S568" s="139"/>
      <c r="V568" s="139"/>
    </row>
    <row r="569" spans="4:22">
      <c r="D569" s="139"/>
      <c r="E569" s="141" t="s">
        <v>1829</v>
      </c>
      <c r="F569" s="141" t="s">
        <v>1756</v>
      </c>
      <c r="G569" s="154" t="str">
        <f t="shared" si="137"/>
        <v>/</v>
      </c>
      <c r="H569" s="141" t="str">
        <f t="shared" si="138"/>
        <v>/</v>
      </c>
      <c r="I569" s="139" t="e">
        <f t="shared" si="139"/>
        <v>#NUM!</v>
      </c>
      <c r="J569" s="139" t="e">
        <f t="shared" si="140"/>
        <v>#NUM!</v>
      </c>
      <c r="K569" s="155">
        <f t="shared" si="136"/>
        <v>-1</v>
      </c>
      <c r="N569" s="139">
        <f t="shared" si="141"/>
        <v>0</v>
      </c>
      <c r="O569" s="139">
        <f t="shared" si="142"/>
        <v>1</v>
      </c>
      <c r="P569" s="155"/>
      <c r="Q569" s="186"/>
      <c r="R569" s="186" t="s">
        <v>873</v>
      </c>
      <c r="S569" s="139"/>
      <c r="V569" s="139"/>
    </row>
    <row r="570" spans="4:22">
      <c r="D570" s="139"/>
      <c r="E570" s="141" t="s">
        <v>1829</v>
      </c>
      <c r="F570" s="141" t="s">
        <v>1756</v>
      </c>
      <c r="G570" s="154" t="str">
        <f t="shared" si="137"/>
        <v>/</v>
      </c>
      <c r="H570" s="141" t="str">
        <f t="shared" si="138"/>
        <v>/</v>
      </c>
      <c r="I570" s="139" t="e">
        <f t="shared" si="139"/>
        <v>#NUM!</v>
      </c>
      <c r="J570" s="139" t="e">
        <f t="shared" si="140"/>
        <v>#NUM!</v>
      </c>
      <c r="K570" s="155">
        <f t="shared" ref="K570:K633" si="143">P570-1</f>
        <v>-1</v>
      </c>
      <c r="N570" s="139">
        <f t="shared" si="141"/>
        <v>0</v>
      </c>
      <c r="O570" s="139">
        <f t="shared" si="142"/>
        <v>1</v>
      </c>
      <c r="P570" s="155"/>
      <c r="Q570" s="186"/>
      <c r="R570" s="186" t="s">
        <v>873</v>
      </c>
      <c r="S570" s="139"/>
      <c r="V570" s="139"/>
    </row>
    <row r="571" spans="4:22">
      <c r="D571" s="139"/>
      <c r="E571" s="141" t="s">
        <v>1829</v>
      </c>
      <c r="F571" s="141" t="s">
        <v>1756</v>
      </c>
      <c r="G571" s="154" t="str">
        <f t="shared" si="137"/>
        <v>/</v>
      </c>
      <c r="H571" s="141" t="str">
        <f t="shared" si="138"/>
        <v>/</v>
      </c>
      <c r="I571" s="139" t="e">
        <f t="shared" si="139"/>
        <v>#NUM!</v>
      </c>
      <c r="J571" s="139" t="e">
        <f t="shared" si="140"/>
        <v>#NUM!</v>
      </c>
      <c r="K571" s="155">
        <f t="shared" si="143"/>
        <v>-1</v>
      </c>
      <c r="N571" s="139">
        <f t="shared" si="141"/>
        <v>0</v>
      </c>
      <c r="O571" s="139">
        <f t="shared" si="142"/>
        <v>1</v>
      </c>
      <c r="P571" s="155"/>
      <c r="Q571" s="186"/>
      <c r="R571" s="186" t="s">
        <v>873</v>
      </c>
      <c r="S571" s="139"/>
      <c r="V571" s="139"/>
    </row>
    <row r="572" spans="4:22">
      <c r="D572" s="139"/>
      <c r="E572" s="141" t="s">
        <v>1829</v>
      </c>
      <c r="F572" s="141" t="s">
        <v>1756</v>
      </c>
      <c r="G572" s="154" t="str">
        <f t="shared" si="137"/>
        <v>/</v>
      </c>
      <c r="H572" s="141" t="str">
        <f t="shared" si="138"/>
        <v>/</v>
      </c>
      <c r="I572" s="139" t="e">
        <f t="shared" si="139"/>
        <v>#NUM!</v>
      </c>
      <c r="J572" s="139" t="e">
        <f t="shared" si="140"/>
        <v>#NUM!</v>
      </c>
      <c r="K572" s="155">
        <f t="shared" si="143"/>
        <v>-1</v>
      </c>
      <c r="N572" s="139">
        <f t="shared" si="141"/>
        <v>0</v>
      </c>
      <c r="O572" s="139">
        <f t="shared" si="142"/>
        <v>1</v>
      </c>
      <c r="P572" s="155"/>
      <c r="Q572" s="186"/>
      <c r="R572" s="186" t="s">
        <v>873</v>
      </c>
      <c r="S572" s="139"/>
      <c r="V572" s="139"/>
    </row>
    <row r="573" spans="4:22">
      <c r="D573" s="139"/>
      <c r="E573" s="141" t="s">
        <v>1829</v>
      </c>
      <c r="F573" s="141" t="s">
        <v>1756</v>
      </c>
      <c r="G573" s="154" t="str">
        <f t="shared" si="137"/>
        <v>/</v>
      </c>
      <c r="H573" s="141" t="str">
        <f t="shared" si="138"/>
        <v>/</v>
      </c>
      <c r="I573" s="139" t="e">
        <f t="shared" si="139"/>
        <v>#NUM!</v>
      </c>
      <c r="J573" s="139" t="e">
        <f t="shared" si="140"/>
        <v>#NUM!</v>
      </c>
      <c r="K573" s="155">
        <f t="shared" si="143"/>
        <v>-1</v>
      </c>
      <c r="N573" s="139">
        <f t="shared" si="141"/>
        <v>0</v>
      </c>
      <c r="O573" s="139">
        <f t="shared" si="142"/>
        <v>1</v>
      </c>
      <c r="P573" s="155"/>
      <c r="Q573" s="186"/>
      <c r="R573" s="186" t="s">
        <v>873</v>
      </c>
      <c r="S573" s="139"/>
      <c r="V573" s="139"/>
    </row>
    <row r="574" spans="4:22">
      <c r="D574" s="139"/>
      <c r="E574" s="141" t="s">
        <v>1829</v>
      </c>
      <c r="F574" s="141" t="s">
        <v>1756</v>
      </c>
      <c r="G574" s="154" t="str">
        <f t="shared" si="137"/>
        <v>/</v>
      </c>
      <c r="H574" s="141" t="str">
        <f t="shared" si="138"/>
        <v>/</v>
      </c>
      <c r="I574" s="139" t="e">
        <f t="shared" si="139"/>
        <v>#NUM!</v>
      </c>
      <c r="J574" s="139" t="e">
        <f t="shared" si="140"/>
        <v>#NUM!</v>
      </c>
      <c r="K574" s="155">
        <f t="shared" si="143"/>
        <v>-1</v>
      </c>
      <c r="N574" s="139">
        <f t="shared" si="141"/>
        <v>0</v>
      </c>
      <c r="O574" s="139">
        <f t="shared" si="142"/>
        <v>1</v>
      </c>
      <c r="P574" s="155"/>
      <c r="Q574" s="186"/>
      <c r="R574" s="186" t="s">
        <v>873</v>
      </c>
      <c r="S574" s="139"/>
      <c r="V574" s="139"/>
    </row>
    <row r="575" spans="4:22">
      <c r="D575" s="139"/>
      <c r="E575" s="141" t="s">
        <v>1829</v>
      </c>
      <c r="F575" s="141" t="s">
        <v>1756</v>
      </c>
      <c r="G575" s="154" t="str">
        <f t="shared" si="137"/>
        <v>/</v>
      </c>
      <c r="H575" s="141" t="str">
        <f t="shared" si="138"/>
        <v>/</v>
      </c>
      <c r="I575" s="139" t="e">
        <f t="shared" si="139"/>
        <v>#NUM!</v>
      </c>
      <c r="J575" s="139" t="e">
        <f t="shared" si="140"/>
        <v>#NUM!</v>
      </c>
      <c r="K575" s="155">
        <f t="shared" si="143"/>
        <v>-1</v>
      </c>
      <c r="N575" s="139">
        <f t="shared" si="141"/>
        <v>0</v>
      </c>
      <c r="O575" s="139">
        <f t="shared" si="142"/>
        <v>1</v>
      </c>
      <c r="P575" s="155"/>
      <c r="Q575" s="186"/>
      <c r="R575" s="186" t="s">
        <v>873</v>
      </c>
      <c r="S575" s="139"/>
      <c r="V575" s="139"/>
    </row>
    <row r="576" spans="4:22">
      <c r="D576" s="139"/>
      <c r="E576" s="141" t="s">
        <v>1829</v>
      </c>
      <c r="F576" s="141" t="s">
        <v>1756</v>
      </c>
      <c r="G576" s="154" t="str">
        <f t="shared" si="137"/>
        <v>/</v>
      </c>
      <c r="H576" s="141" t="str">
        <f t="shared" si="138"/>
        <v>/</v>
      </c>
      <c r="I576" s="139" t="e">
        <f t="shared" si="139"/>
        <v>#NUM!</v>
      </c>
      <c r="J576" s="139" t="e">
        <f t="shared" si="140"/>
        <v>#NUM!</v>
      </c>
      <c r="K576" s="155">
        <f t="shared" si="143"/>
        <v>-1</v>
      </c>
      <c r="N576" s="139">
        <f t="shared" si="141"/>
        <v>0</v>
      </c>
      <c r="O576" s="139">
        <f t="shared" si="142"/>
        <v>1</v>
      </c>
      <c r="P576" s="155"/>
      <c r="Q576" s="186"/>
      <c r="R576" s="186" t="s">
        <v>873</v>
      </c>
      <c r="S576" s="139"/>
      <c r="V576" s="139"/>
    </row>
    <row r="577" spans="4:22">
      <c r="D577" s="139"/>
      <c r="E577" s="141" t="s">
        <v>1829</v>
      </c>
      <c r="F577" s="141" t="s">
        <v>1756</v>
      </c>
      <c r="G577" s="154" t="str">
        <f t="shared" ref="G577:G640" si="144">A577&amp;"/"&amp;B577</f>
        <v>/</v>
      </c>
      <c r="H577" s="141" t="str">
        <f t="shared" ref="H577:H640" si="145">A577&amp;"/"&amp;B577</f>
        <v>/</v>
      </c>
      <c r="I577" s="139" t="e">
        <f t="shared" si="139"/>
        <v>#NUM!</v>
      </c>
      <c r="J577" s="139" t="e">
        <f t="shared" si="140"/>
        <v>#NUM!</v>
      </c>
      <c r="K577" s="155">
        <f t="shared" si="143"/>
        <v>-1</v>
      </c>
      <c r="N577" s="139">
        <f t="shared" si="141"/>
        <v>0</v>
      </c>
      <c r="O577" s="139">
        <f t="shared" si="142"/>
        <v>1</v>
      </c>
      <c r="P577" s="155"/>
      <c r="Q577" s="186"/>
      <c r="R577" s="186" t="s">
        <v>873</v>
      </c>
      <c r="S577" s="139"/>
      <c r="V577" s="139"/>
    </row>
    <row r="578" spans="4:22">
      <c r="D578" s="139"/>
      <c r="E578" s="141" t="s">
        <v>1829</v>
      </c>
      <c r="F578" s="141" t="s">
        <v>1756</v>
      </c>
      <c r="G578" s="154" t="str">
        <f t="shared" si="144"/>
        <v>/</v>
      </c>
      <c r="H578" s="141" t="str">
        <f t="shared" si="145"/>
        <v>/</v>
      </c>
      <c r="I578" s="139" t="e">
        <f t="shared" si="139"/>
        <v>#NUM!</v>
      </c>
      <c r="J578" s="139" t="e">
        <f t="shared" si="140"/>
        <v>#NUM!</v>
      </c>
      <c r="K578" s="155">
        <f t="shared" si="143"/>
        <v>-1</v>
      </c>
      <c r="N578" s="139">
        <f t="shared" si="141"/>
        <v>0</v>
      </c>
      <c r="O578" s="139">
        <f t="shared" si="142"/>
        <v>1</v>
      </c>
      <c r="P578" s="155"/>
      <c r="Q578" s="186"/>
      <c r="R578" s="186" t="s">
        <v>873</v>
      </c>
      <c r="S578" s="139"/>
      <c r="V578" s="139"/>
    </row>
    <row r="579" spans="4:22">
      <c r="D579" s="139"/>
      <c r="E579" s="141" t="s">
        <v>1829</v>
      </c>
      <c r="F579" s="141" t="s">
        <v>1756</v>
      </c>
      <c r="G579" s="154" t="str">
        <f t="shared" si="144"/>
        <v>/</v>
      </c>
      <c r="H579" s="141" t="str">
        <f t="shared" si="145"/>
        <v>/</v>
      </c>
      <c r="I579" s="139" t="e">
        <f t="shared" si="139"/>
        <v>#NUM!</v>
      </c>
      <c r="J579" s="139" t="e">
        <f t="shared" si="140"/>
        <v>#NUM!</v>
      </c>
      <c r="K579" s="155">
        <f t="shared" si="143"/>
        <v>-1</v>
      </c>
      <c r="N579" s="139">
        <f t="shared" si="141"/>
        <v>0</v>
      </c>
      <c r="O579" s="139">
        <f t="shared" si="142"/>
        <v>1</v>
      </c>
      <c r="P579" s="155"/>
      <c r="Q579" s="186"/>
      <c r="R579" s="186" t="s">
        <v>873</v>
      </c>
      <c r="S579" s="139"/>
      <c r="V579" s="139"/>
    </row>
    <row r="580" spans="4:22">
      <c r="D580" s="139"/>
      <c r="E580" s="141" t="s">
        <v>1829</v>
      </c>
      <c r="F580" s="141" t="s">
        <v>1756</v>
      </c>
      <c r="G580" s="154" t="str">
        <f t="shared" si="144"/>
        <v>/</v>
      </c>
      <c r="H580" s="141" t="str">
        <f t="shared" si="145"/>
        <v>/</v>
      </c>
      <c r="I580" s="139" t="e">
        <f t="shared" si="139"/>
        <v>#NUM!</v>
      </c>
      <c r="J580" s="139" t="e">
        <f t="shared" si="140"/>
        <v>#NUM!</v>
      </c>
      <c r="K580" s="155">
        <f t="shared" si="143"/>
        <v>-1</v>
      </c>
      <c r="N580" s="139">
        <f t="shared" si="141"/>
        <v>0</v>
      </c>
      <c r="O580" s="139">
        <f t="shared" si="142"/>
        <v>1</v>
      </c>
      <c r="P580" s="155"/>
      <c r="Q580" s="186"/>
      <c r="R580" s="186" t="s">
        <v>873</v>
      </c>
      <c r="S580" s="139"/>
      <c r="V580" s="139"/>
    </row>
    <row r="581" spans="4:22">
      <c r="D581" s="139"/>
      <c r="E581" s="141" t="s">
        <v>1829</v>
      </c>
      <c r="F581" s="141" t="s">
        <v>1756</v>
      </c>
      <c r="G581" s="154" t="str">
        <f t="shared" si="144"/>
        <v>/</v>
      </c>
      <c r="H581" s="141" t="str">
        <f t="shared" si="145"/>
        <v>/</v>
      </c>
      <c r="I581" s="139" t="e">
        <f t="shared" si="139"/>
        <v>#NUM!</v>
      </c>
      <c r="J581" s="139" t="e">
        <f t="shared" si="140"/>
        <v>#NUM!</v>
      </c>
      <c r="K581" s="155">
        <f t="shared" si="143"/>
        <v>-1</v>
      </c>
      <c r="N581" s="139">
        <f t="shared" si="141"/>
        <v>0</v>
      </c>
      <c r="O581" s="139">
        <f t="shared" si="142"/>
        <v>1</v>
      </c>
      <c r="P581" s="155"/>
      <c r="Q581" s="186"/>
      <c r="R581" s="186" t="s">
        <v>873</v>
      </c>
      <c r="S581" s="139"/>
      <c r="V581" s="139"/>
    </row>
    <row r="582" spans="4:22">
      <c r="D582" s="139"/>
      <c r="E582" s="141" t="s">
        <v>1829</v>
      </c>
      <c r="F582" s="141" t="s">
        <v>1756</v>
      </c>
      <c r="G582" s="154" t="str">
        <f t="shared" si="144"/>
        <v>/</v>
      </c>
      <c r="H582" s="141" t="str">
        <f t="shared" si="145"/>
        <v>/</v>
      </c>
      <c r="I582" s="139" t="e">
        <f t="shared" si="139"/>
        <v>#NUM!</v>
      </c>
      <c r="J582" s="139" t="e">
        <f t="shared" si="140"/>
        <v>#NUM!</v>
      </c>
      <c r="K582" s="155">
        <f t="shared" si="143"/>
        <v>-1</v>
      </c>
      <c r="N582" s="139">
        <f t="shared" si="141"/>
        <v>0</v>
      </c>
      <c r="O582" s="139">
        <f t="shared" si="142"/>
        <v>1</v>
      </c>
      <c r="P582" s="155"/>
      <c r="Q582" s="186"/>
      <c r="R582" s="186" t="s">
        <v>873</v>
      </c>
      <c r="S582" s="139"/>
      <c r="V582" s="139"/>
    </row>
    <row r="583" spans="4:22">
      <c r="D583" s="139"/>
      <c r="E583" s="141" t="s">
        <v>1829</v>
      </c>
      <c r="F583" s="141" t="s">
        <v>1756</v>
      </c>
      <c r="G583" s="154" t="str">
        <f t="shared" si="144"/>
        <v>/</v>
      </c>
      <c r="H583" s="141" t="str">
        <f t="shared" si="145"/>
        <v>/</v>
      </c>
      <c r="I583" s="139" t="e">
        <f t="shared" si="139"/>
        <v>#NUM!</v>
      </c>
      <c r="J583" s="139" t="e">
        <f t="shared" si="140"/>
        <v>#NUM!</v>
      </c>
      <c r="K583" s="155">
        <f t="shared" si="143"/>
        <v>-1</v>
      </c>
      <c r="N583" s="139">
        <f t="shared" si="141"/>
        <v>0</v>
      </c>
      <c r="O583" s="139">
        <f t="shared" si="142"/>
        <v>1</v>
      </c>
      <c r="P583" s="155"/>
      <c r="Q583" s="186"/>
      <c r="R583" s="186" t="s">
        <v>873</v>
      </c>
      <c r="S583" s="139"/>
      <c r="V583" s="139"/>
    </row>
    <row r="584" spans="4:22">
      <c r="D584" s="139"/>
      <c r="E584" s="141" t="s">
        <v>1829</v>
      </c>
      <c r="F584" s="141" t="s">
        <v>1756</v>
      </c>
      <c r="G584" s="154" t="str">
        <f t="shared" si="144"/>
        <v>/</v>
      </c>
      <c r="H584" s="141" t="str">
        <f t="shared" si="145"/>
        <v>/</v>
      </c>
      <c r="I584" s="139" t="e">
        <f t="shared" si="139"/>
        <v>#NUM!</v>
      </c>
      <c r="J584" s="139" t="e">
        <f t="shared" si="140"/>
        <v>#NUM!</v>
      </c>
      <c r="K584" s="155">
        <f t="shared" si="143"/>
        <v>-1</v>
      </c>
      <c r="N584" s="139">
        <f t="shared" si="141"/>
        <v>0</v>
      </c>
      <c r="O584" s="139">
        <f t="shared" si="142"/>
        <v>1</v>
      </c>
      <c r="P584" s="155"/>
      <c r="Q584" s="186"/>
      <c r="R584" s="186" t="s">
        <v>873</v>
      </c>
      <c r="S584" s="139"/>
      <c r="V584" s="139"/>
    </row>
    <row r="585" spans="4:22">
      <c r="D585" s="139"/>
      <c r="E585" s="141" t="s">
        <v>1829</v>
      </c>
      <c r="F585" s="141" t="s">
        <v>1756</v>
      </c>
      <c r="G585" s="154" t="str">
        <f t="shared" si="144"/>
        <v>/</v>
      </c>
      <c r="H585" s="141" t="str">
        <f t="shared" si="145"/>
        <v>/</v>
      </c>
      <c r="I585" s="139" t="e">
        <f t="shared" si="139"/>
        <v>#NUM!</v>
      </c>
      <c r="J585" s="139" t="e">
        <f t="shared" si="140"/>
        <v>#NUM!</v>
      </c>
      <c r="K585" s="155">
        <f t="shared" si="143"/>
        <v>-1</v>
      </c>
      <c r="N585" s="139">
        <f t="shared" si="141"/>
        <v>0</v>
      </c>
      <c r="O585" s="139">
        <f t="shared" si="142"/>
        <v>1</v>
      </c>
      <c r="P585" s="155"/>
      <c r="Q585" s="186"/>
      <c r="R585" s="186" t="s">
        <v>873</v>
      </c>
      <c r="S585" s="139"/>
      <c r="V585" s="139"/>
    </row>
    <row r="586" spans="4:22">
      <c r="D586" s="139"/>
      <c r="E586" s="141" t="s">
        <v>1829</v>
      </c>
      <c r="F586" s="141" t="s">
        <v>1756</v>
      </c>
      <c r="G586" s="154" t="str">
        <f t="shared" si="144"/>
        <v>/</v>
      </c>
      <c r="H586" s="141" t="str">
        <f t="shared" si="145"/>
        <v>/</v>
      </c>
      <c r="I586" s="139" t="e">
        <f t="shared" si="139"/>
        <v>#NUM!</v>
      </c>
      <c r="J586" s="139" t="e">
        <f t="shared" si="140"/>
        <v>#NUM!</v>
      </c>
      <c r="K586" s="155">
        <f t="shared" si="143"/>
        <v>-1</v>
      </c>
      <c r="N586" s="139">
        <f t="shared" si="141"/>
        <v>0</v>
      </c>
      <c r="O586" s="139">
        <f t="shared" si="142"/>
        <v>1</v>
      </c>
      <c r="P586" s="155"/>
      <c r="Q586" s="186"/>
      <c r="R586" s="186" t="s">
        <v>873</v>
      </c>
      <c r="S586" s="139"/>
      <c r="V586" s="139"/>
    </row>
    <row r="587" spans="4:22">
      <c r="D587" s="139"/>
      <c r="E587" s="141" t="s">
        <v>1829</v>
      </c>
      <c r="F587" s="141" t="s">
        <v>1756</v>
      </c>
      <c r="G587" s="154" t="str">
        <f t="shared" si="144"/>
        <v>/</v>
      </c>
      <c r="H587" s="141" t="str">
        <f t="shared" si="145"/>
        <v>/</v>
      </c>
      <c r="I587" s="139" t="e">
        <f t="shared" si="139"/>
        <v>#NUM!</v>
      </c>
      <c r="J587" s="139" t="e">
        <f t="shared" si="140"/>
        <v>#NUM!</v>
      </c>
      <c r="K587" s="155">
        <f t="shared" si="143"/>
        <v>-1</v>
      </c>
      <c r="N587" s="139">
        <f t="shared" si="141"/>
        <v>0</v>
      </c>
      <c r="O587" s="139">
        <f t="shared" si="142"/>
        <v>1</v>
      </c>
      <c r="P587" s="155"/>
      <c r="Q587" s="186"/>
      <c r="R587" s="186" t="s">
        <v>873</v>
      </c>
      <c r="S587" s="139"/>
      <c r="V587" s="139"/>
    </row>
    <row r="588" spans="4:22">
      <c r="D588" s="139"/>
      <c r="E588" s="141" t="s">
        <v>1829</v>
      </c>
      <c r="F588" s="141" t="s">
        <v>1756</v>
      </c>
      <c r="G588" s="154" t="str">
        <f t="shared" si="144"/>
        <v>/</v>
      </c>
      <c r="H588" s="141" t="str">
        <f t="shared" si="145"/>
        <v>/</v>
      </c>
      <c r="I588" s="139" t="e">
        <f t="shared" si="139"/>
        <v>#NUM!</v>
      </c>
      <c r="J588" s="139" t="e">
        <f t="shared" si="140"/>
        <v>#NUM!</v>
      </c>
      <c r="K588" s="155">
        <f t="shared" si="143"/>
        <v>-1</v>
      </c>
      <c r="N588" s="139">
        <f t="shared" si="141"/>
        <v>0</v>
      </c>
      <c r="O588" s="139">
        <f t="shared" si="142"/>
        <v>1</v>
      </c>
      <c r="P588" s="155"/>
      <c r="Q588" s="186"/>
      <c r="R588" s="186" t="s">
        <v>873</v>
      </c>
      <c r="S588" s="139"/>
      <c r="V588" s="139"/>
    </row>
    <row r="589" spans="4:22">
      <c r="D589" s="139"/>
      <c r="E589" s="141" t="s">
        <v>1829</v>
      </c>
      <c r="F589" s="141" t="s">
        <v>1756</v>
      </c>
      <c r="G589" s="154" t="str">
        <f t="shared" si="144"/>
        <v>/</v>
      </c>
      <c r="H589" s="141" t="str">
        <f t="shared" si="145"/>
        <v>/</v>
      </c>
      <c r="I589" s="139" t="e">
        <f t="shared" si="139"/>
        <v>#NUM!</v>
      </c>
      <c r="J589" s="139" t="e">
        <f t="shared" si="140"/>
        <v>#NUM!</v>
      </c>
      <c r="K589" s="155">
        <f t="shared" si="143"/>
        <v>-1</v>
      </c>
      <c r="N589" s="139">
        <f t="shared" si="141"/>
        <v>0</v>
      </c>
      <c r="O589" s="139">
        <f t="shared" si="142"/>
        <v>1</v>
      </c>
      <c r="P589" s="155"/>
      <c r="Q589" s="186"/>
      <c r="R589" s="186" t="s">
        <v>873</v>
      </c>
      <c r="S589" s="139"/>
      <c r="V589" s="139"/>
    </row>
    <row r="590" spans="4:22">
      <c r="D590" s="139"/>
      <c r="E590" s="141" t="s">
        <v>1829</v>
      </c>
      <c r="F590" s="141" t="s">
        <v>1756</v>
      </c>
      <c r="G590" s="154" t="str">
        <f t="shared" si="144"/>
        <v>/</v>
      </c>
      <c r="H590" s="141" t="str">
        <f t="shared" si="145"/>
        <v>/</v>
      </c>
      <c r="I590" s="139" t="e">
        <f t="shared" si="139"/>
        <v>#NUM!</v>
      </c>
      <c r="J590" s="139" t="e">
        <f t="shared" si="140"/>
        <v>#NUM!</v>
      </c>
      <c r="K590" s="155">
        <f t="shared" si="143"/>
        <v>-1</v>
      </c>
      <c r="N590" s="139">
        <f t="shared" si="141"/>
        <v>0</v>
      </c>
      <c r="O590" s="139">
        <f t="shared" si="142"/>
        <v>1</v>
      </c>
      <c r="P590" s="155"/>
      <c r="Q590" s="186"/>
      <c r="R590" s="186" t="s">
        <v>873</v>
      </c>
      <c r="S590" s="139"/>
      <c r="V590" s="139"/>
    </row>
    <row r="591" spans="4:22">
      <c r="D591" s="139"/>
      <c r="E591" s="141" t="s">
        <v>1829</v>
      </c>
      <c r="F591" s="141" t="s">
        <v>1756</v>
      </c>
      <c r="G591" s="154" t="str">
        <f t="shared" si="144"/>
        <v>/</v>
      </c>
      <c r="H591" s="141" t="str">
        <f t="shared" si="145"/>
        <v>/</v>
      </c>
      <c r="I591" s="139" t="e">
        <f t="shared" si="139"/>
        <v>#NUM!</v>
      </c>
      <c r="J591" s="139" t="e">
        <f t="shared" si="140"/>
        <v>#NUM!</v>
      </c>
      <c r="K591" s="155">
        <f t="shared" si="143"/>
        <v>-1</v>
      </c>
      <c r="N591" s="139">
        <f t="shared" si="141"/>
        <v>0</v>
      </c>
      <c r="O591" s="139">
        <f t="shared" si="142"/>
        <v>1</v>
      </c>
      <c r="P591" s="155"/>
      <c r="Q591" s="186"/>
      <c r="R591" s="186" t="s">
        <v>873</v>
      </c>
      <c r="S591" s="139"/>
      <c r="V591" s="139"/>
    </row>
    <row r="592" spans="4:22">
      <c r="D592" s="139"/>
      <c r="E592" s="141" t="s">
        <v>1829</v>
      </c>
      <c r="F592" s="141" t="s">
        <v>1756</v>
      </c>
      <c r="G592" s="154" t="str">
        <f t="shared" si="144"/>
        <v>/</v>
      </c>
      <c r="H592" s="141" t="str">
        <f t="shared" si="145"/>
        <v>/</v>
      </c>
      <c r="I592" s="139" t="e">
        <f t="shared" si="139"/>
        <v>#NUM!</v>
      </c>
      <c r="J592" s="139" t="e">
        <f t="shared" si="140"/>
        <v>#NUM!</v>
      </c>
      <c r="K592" s="155">
        <f t="shared" si="143"/>
        <v>-1</v>
      </c>
      <c r="N592" s="139">
        <f t="shared" si="141"/>
        <v>0</v>
      </c>
      <c r="O592" s="139">
        <f t="shared" si="142"/>
        <v>1</v>
      </c>
      <c r="P592" s="155"/>
      <c r="Q592" s="186"/>
      <c r="R592" s="186" t="s">
        <v>873</v>
      </c>
      <c r="S592" s="139"/>
      <c r="V592" s="139"/>
    </row>
    <row r="593" spans="4:22">
      <c r="D593" s="139"/>
      <c r="E593" s="141" t="s">
        <v>1829</v>
      </c>
      <c r="F593" s="141" t="s">
        <v>1756</v>
      </c>
      <c r="G593" s="154" t="str">
        <f t="shared" si="144"/>
        <v>/</v>
      </c>
      <c r="H593" s="141" t="str">
        <f t="shared" si="145"/>
        <v>/</v>
      </c>
      <c r="I593" s="139" t="e">
        <f t="shared" si="139"/>
        <v>#NUM!</v>
      </c>
      <c r="J593" s="139" t="e">
        <f t="shared" si="140"/>
        <v>#NUM!</v>
      </c>
      <c r="K593" s="155">
        <f t="shared" si="143"/>
        <v>-1</v>
      </c>
      <c r="N593" s="139">
        <f t="shared" si="141"/>
        <v>0</v>
      </c>
      <c r="O593" s="139">
        <f t="shared" si="142"/>
        <v>1</v>
      </c>
      <c r="P593" s="155"/>
      <c r="Q593" s="186"/>
      <c r="R593" s="186" t="s">
        <v>873</v>
      </c>
      <c r="S593" s="139"/>
      <c r="V593" s="139"/>
    </row>
    <row r="594" spans="4:22">
      <c r="D594" s="139"/>
      <c r="E594" s="141" t="s">
        <v>1829</v>
      </c>
      <c r="F594" s="141" t="s">
        <v>1756</v>
      </c>
      <c r="G594" s="154" t="str">
        <f t="shared" si="144"/>
        <v>/</v>
      </c>
      <c r="H594" s="141" t="str">
        <f t="shared" si="145"/>
        <v>/</v>
      </c>
      <c r="I594" s="139" t="e">
        <f t="shared" si="139"/>
        <v>#NUM!</v>
      </c>
      <c r="J594" s="139" t="e">
        <f t="shared" si="140"/>
        <v>#NUM!</v>
      </c>
      <c r="K594" s="155">
        <f t="shared" si="143"/>
        <v>-1</v>
      </c>
      <c r="N594" s="139">
        <f t="shared" si="141"/>
        <v>0</v>
      </c>
      <c r="O594" s="139">
        <f t="shared" si="142"/>
        <v>1</v>
      </c>
      <c r="P594" s="155"/>
      <c r="Q594" s="186"/>
      <c r="R594" s="186" t="s">
        <v>873</v>
      </c>
      <c r="S594" s="139"/>
      <c r="V594" s="139"/>
    </row>
    <row r="595" spans="4:22">
      <c r="D595" s="139"/>
      <c r="E595" s="141" t="s">
        <v>1829</v>
      </c>
      <c r="F595" s="141" t="s">
        <v>1756</v>
      </c>
      <c r="G595" s="154" t="str">
        <f t="shared" si="144"/>
        <v>/</v>
      </c>
      <c r="H595" s="141" t="str">
        <f t="shared" si="145"/>
        <v>/</v>
      </c>
      <c r="I595" s="139" t="e">
        <f t="shared" si="139"/>
        <v>#NUM!</v>
      </c>
      <c r="J595" s="139" t="e">
        <f t="shared" si="140"/>
        <v>#NUM!</v>
      </c>
      <c r="K595" s="155">
        <f t="shared" si="143"/>
        <v>-1</v>
      </c>
      <c r="N595" s="139">
        <f t="shared" si="141"/>
        <v>0</v>
      </c>
      <c r="O595" s="139">
        <f t="shared" si="142"/>
        <v>1</v>
      </c>
      <c r="P595" s="155"/>
      <c r="Q595" s="186"/>
      <c r="R595" s="186" t="s">
        <v>873</v>
      </c>
      <c r="S595" s="139"/>
      <c r="V595" s="139"/>
    </row>
    <row r="596" spans="4:22">
      <c r="D596" s="139"/>
      <c r="E596" s="141" t="s">
        <v>1829</v>
      </c>
      <c r="F596" s="141" t="s">
        <v>1756</v>
      </c>
      <c r="G596" s="154" t="str">
        <f t="shared" si="144"/>
        <v>/</v>
      </c>
      <c r="H596" s="141" t="str">
        <f t="shared" si="145"/>
        <v>/</v>
      </c>
      <c r="I596" s="139" t="e">
        <f t="shared" si="139"/>
        <v>#NUM!</v>
      </c>
      <c r="J596" s="139" t="e">
        <f t="shared" si="140"/>
        <v>#NUM!</v>
      </c>
      <c r="K596" s="155">
        <f t="shared" si="143"/>
        <v>-1</v>
      </c>
      <c r="N596" s="139">
        <f t="shared" si="141"/>
        <v>0</v>
      </c>
      <c r="O596" s="139">
        <f t="shared" si="142"/>
        <v>1</v>
      </c>
      <c r="P596" s="155"/>
      <c r="Q596" s="186"/>
      <c r="R596" s="186" t="s">
        <v>873</v>
      </c>
      <c r="S596" s="139"/>
      <c r="V596" s="139"/>
    </row>
    <row r="597" spans="4:22">
      <c r="D597" s="139"/>
      <c r="E597" s="141" t="s">
        <v>1829</v>
      </c>
      <c r="F597" s="141" t="s">
        <v>1756</v>
      </c>
      <c r="G597" s="154" t="str">
        <f t="shared" si="144"/>
        <v>/</v>
      </c>
      <c r="H597" s="141" t="str">
        <f t="shared" si="145"/>
        <v>/</v>
      </c>
      <c r="I597" s="139" t="e">
        <f t="shared" si="139"/>
        <v>#NUM!</v>
      </c>
      <c r="J597" s="139" t="e">
        <f t="shared" si="140"/>
        <v>#NUM!</v>
      </c>
      <c r="K597" s="155">
        <f t="shared" si="143"/>
        <v>-1</v>
      </c>
      <c r="N597" s="139">
        <f t="shared" si="141"/>
        <v>0</v>
      </c>
      <c r="O597" s="139">
        <f t="shared" si="142"/>
        <v>1</v>
      </c>
      <c r="P597" s="155"/>
      <c r="Q597" s="186"/>
      <c r="R597" s="186" t="s">
        <v>873</v>
      </c>
      <c r="S597" s="139"/>
      <c r="V597" s="139"/>
    </row>
    <row r="598" spans="4:22">
      <c r="D598" s="139"/>
      <c r="E598" s="141" t="s">
        <v>1829</v>
      </c>
      <c r="F598" s="141" t="s">
        <v>1756</v>
      </c>
      <c r="G598" s="154" t="str">
        <f t="shared" si="144"/>
        <v>/</v>
      </c>
      <c r="H598" s="141" t="str">
        <f t="shared" si="145"/>
        <v>/</v>
      </c>
      <c r="I598" s="139" t="e">
        <f t="shared" si="139"/>
        <v>#NUM!</v>
      </c>
      <c r="J598" s="139" t="e">
        <f t="shared" si="140"/>
        <v>#NUM!</v>
      </c>
      <c r="K598" s="155">
        <f t="shared" si="143"/>
        <v>-1</v>
      </c>
      <c r="N598" s="139">
        <f t="shared" si="141"/>
        <v>0</v>
      </c>
      <c r="O598" s="139">
        <f t="shared" si="142"/>
        <v>1</v>
      </c>
      <c r="P598" s="155"/>
      <c r="Q598" s="186"/>
      <c r="R598" s="186" t="s">
        <v>873</v>
      </c>
      <c r="S598" s="139"/>
      <c r="V598" s="139"/>
    </row>
    <row r="599" spans="4:22">
      <c r="D599" s="139"/>
      <c r="E599" s="141" t="s">
        <v>1829</v>
      </c>
      <c r="F599" s="141" t="s">
        <v>1756</v>
      </c>
      <c r="G599" s="154" t="str">
        <f t="shared" si="144"/>
        <v>/</v>
      </c>
      <c r="H599" s="141" t="str">
        <f t="shared" si="145"/>
        <v>/</v>
      </c>
      <c r="I599" s="139" t="e">
        <f t="shared" si="139"/>
        <v>#NUM!</v>
      </c>
      <c r="J599" s="139" t="e">
        <f t="shared" si="140"/>
        <v>#NUM!</v>
      </c>
      <c r="K599" s="155">
        <f t="shared" si="143"/>
        <v>-1</v>
      </c>
      <c r="N599" s="139">
        <f t="shared" si="141"/>
        <v>0</v>
      </c>
      <c r="O599" s="139">
        <f t="shared" si="142"/>
        <v>1</v>
      </c>
      <c r="P599" s="155"/>
      <c r="Q599" s="186"/>
      <c r="R599" s="186" t="s">
        <v>873</v>
      </c>
      <c r="S599" s="139"/>
      <c r="V599" s="139"/>
    </row>
    <row r="600" spans="4:22">
      <c r="D600" s="139"/>
      <c r="E600" s="141" t="s">
        <v>1829</v>
      </c>
      <c r="F600" s="141" t="s">
        <v>1756</v>
      </c>
      <c r="G600" s="154" t="str">
        <f t="shared" si="144"/>
        <v>/</v>
      </c>
      <c r="H600" s="141" t="str">
        <f t="shared" si="145"/>
        <v>/</v>
      </c>
      <c r="I600" s="139" t="e">
        <f t="shared" si="139"/>
        <v>#NUM!</v>
      </c>
      <c r="J600" s="139" t="e">
        <f t="shared" si="140"/>
        <v>#NUM!</v>
      </c>
      <c r="K600" s="155">
        <f t="shared" si="143"/>
        <v>-1</v>
      </c>
      <c r="N600" s="139">
        <f t="shared" si="141"/>
        <v>0</v>
      </c>
      <c r="O600" s="139">
        <f t="shared" si="142"/>
        <v>1</v>
      </c>
      <c r="P600" s="155"/>
      <c r="Q600" s="186"/>
      <c r="R600" s="186" t="s">
        <v>873</v>
      </c>
      <c r="S600" s="139"/>
      <c r="V600" s="139"/>
    </row>
    <row r="601" spans="4:22">
      <c r="D601" s="139"/>
      <c r="E601" s="141" t="s">
        <v>1829</v>
      </c>
      <c r="F601" s="141" t="s">
        <v>1756</v>
      </c>
      <c r="G601" s="154" t="str">
        <f t="shared" si="144"/>
        <v>/</v>
      </c>
      <c r="H601" s="141" t="str">
        <f t="shared" si="145"/>
        <v>/</v>
      </c>
      <c r="I601" s="139" t="e">
        <f t="shared" si="139"/>
        <v>#NUM!</v>
      </c>
      <c r="J601" s="139" t="e">
        <f t="shared" si="140"/>
        <v>#NUM!</v>
      </c>
      <c r="K601" s="155">
        <f t="shared" si="143"/>
        <v>-1</v>
      </c>
      <c r="N601" s="139">
        <f t="shared" si="141"/>
        <v>0</v>
      </c>
      <c r="O601" s="139">
        <f t="shared" si="142"/>
        <v>1</v>
      </c>
      <c r="P601" s="155"/>
      <c r="Q601" s="186"/>
      <c r="R601" s="186" t="s">
        <v>873</v>
      </c>
      <c r="S601" s="139"/>
      <c r="V601" s="139"/>
    </row>
    <row r="602" spans="4:22">
      <c r="D602" s="139"/>
      <c r="E602" s="141" t="s">
        <v>1829</v>
      </c>
      <c r="F602" s="141" t="s">
        <v>1756</v>
      </c>
      <c r="G602" s="154" t="str">
        <f t="shared" si="144"/>
        <v>/</v>
      </c>
      <c r="H602" s="141" t="str">
        <f t="shared" si="145"/>
        <v>/</v>
      </c>
      <c r="I602" s="139" t="e">
        <f t="shared" si="139"/>
        <v>#NUM!</v>
      </c>
      <c r="J602" s="139" t="e">
        <f t="shared" si="140"/>
        <v>#NUM!</v>
      </c>
      <c r="K602" s="155">
        <f t="shared" si="143"/>
        <v>-1</v>
      </c>
      <c r="N602" s="139">
        <f t="shared" si="141"/>
        <v>0</v>
      </c>
      <c r="O602" s="139">
        <f t="shared" si="142"/>
        <v>1</v>
      </c>
      <c r="P602" s="155"/>
      <c r="Q602" s="186"/>
      <c r="R602" s="186" t="s">
        <v>873</v>
      </c>
      <c r="S602" s="139"/>
      <c r="V602" s="139"/>
    </row>
    <row r="603" spans="4:22">
      <c r="D603" s="139"/>
      <c r="E603" s="141" t="s">
        <v>1829</v>
      </c>
      <c r="F603" s="141" t="s">
        <v>1756</v>
      </c>
      <c r="G603" s="154" t="str">
        <f t="shared" si="144"/>
        <v>/</v>
      </c>
      <c r="H603" s="141" t="str">
        <f t="shared" si="145"/>
        <v>/</v>
      </c>
      <c r="I603" s="139" t="e">
        <f t="shared" si="139"/>
        <v>#NUM!</v>
      </c>
      <c r="J603" s="139" t="e">
        <f t="shared" si="140"/>
        <v>#NUM!</v>
      </c>
      <c r="K603" s="155">
        <f t="shared" si="143"/>
        <v>-1</v>
      </c>
      <c r="N603" s="139">
        <f t="shared" si="141"/>
        <v>0</v>
      </c>
      <c r="O603" s="139">
        <f t="shared" si="142"/>
        <v>1</v>
      </c>
      <c r="P603" s="155"/>
      <c r="Q603" s="186"/>
      <c r="R603" s="186" t="s">
        <v>873</v>
      </c>
      <c r="S603" s="139"/>
      <c r="V603" s="139"/>
    </row>
    <row r="604" spans="4:22">
      <c r="D604" s="139"/>
      <c r="E604" s="141" t="s">
        <v>1829</v>
      </c>
      <c r="F604" s="141" t="s">
        <v>1756</v>
      </c>
      <c r="G604" s="154" t="str">
        <f t="shared" si="144"/>
        <v>/</v>
      </c>
      <c r="H604" s="141" t="str">
        <f t="shared" si="145"/>
        <v>/</v>
      </c>
      <c r="I604" s="139" t="e">
        <f t="shared" si="139"/>
        <v>#NUM!</v>
      </c>
      <c r="J604" s="139" t="e">
        <f t="shared" si="140"/>
        <v>#NUM!</v>
      </c>
      <c r="K604" s="155">
        <f t="shared" si="143"/>
        <v>-1</v>
      </c>
      <c r="N604" s="139">
        <f t="shared" si="141"/>
        <v>0</v>
      </c>
      <c r="O604" s="139">
        <f t="shared" si="142"/>
        <v>1</v>
      </c>
      <c r="P604" s="155"/>
      <c r="Q604" s="186"/>
      <c r="R604" s="186" t="s">
        <v>873</v>
      </c>
      <c r="S604" s="139"/>
      <c r="V604" s="139"/>
    </row>
    <row r="605" spans="4:22">
      <c r="D605" s="139"/>
      <c r="E605" s="141" t="s">
        <v>1829</v>
      </c>
      <c r="F605" s="141" t="s">
        <v>1756</v>
      </c>
      <c r="G605" s="154" t="str">
        <f t="shared" si="144"/>
        <v>/</v>
      </c>
      <c r="H605" s="141" t="str">
        <f t="shared" si="145"/>
        <v>/</v>
      </c>
      <c r="I605" s="139" t="e">
        <f t="shared" si="139"/>
        <v>#NUM!</v>
      </c>
      <c r="J605" s="139" t="e">
        <f t="shared" si="140"/>
        <v>#NUM!</v>
      </c>
      <c r="K605" s="155">
        <f t="shared" si="143"/>
        <v>-1</v>
      </c>
      <c r="N605" s="139">
        <f t="shared" si="141"/>
        <v>0</v>
      </c>
      <c r="O605" s="139">
        <f t="shared" si="142"/>
        <v>1</v>
      </c>
      <c r="P605" s="155"/>
      <c r="Q605" s="186"/>
      <c r="R605" s="186" t="s">
        <v>873</v>
      </c>
      <c r="S605" s="139"/>
      <c r="V605" s="139"/>
    </row>
    <row r="606" spans="4:22">
      <c r="D606" s="139"/>
      <c r="E606" s="141" t="s">
        <v>1829</v>
      </c>
      <c r="F606" s="141" t="s">
        <v>1756</v>
      </c>
      <c r="G606" s="154" t="str">
        <f t="shared" si="144"/>
        <v>/</v>
      </c>
      <c r="H606" s="141" t="str">
        <f t="shared" si="145"/>
        <v>/</v>
      </c>
      <c r="I606" s="139" t="e">
        <f t="shared" si="139"/>
        <v>#NUM!</v>
      </c>
      <c r="J606" s="139" t="e">
        <f t="shared" si="140"/>
        <v>#NUM!</v>
      </c>
      <c r="K606" s="155">
        <f t="shared" si="143"/>
        <v>-1</v>
      </c>
      <c r="N606" s="139">
        <f t="shared" si="141"/>
        <v>0</v>
      </c>
      <c r="O606" s="139">
        <f t="shared" si="142"/>
        <v>1</v>
      </c>
      <c r="P606" s="155"/>
      <c r="Q606" s="186"/>
      <c r="R606" s="186" t="s">
        <v>873</v>
      </c>
      <c r="S606" s="139"/>
      <c r="V606" s="139"/>
    </row>
    <row r="607" spans="4:22">
      <c r="D607" s="139"/>
      <c r="E607" s="141" t="s">
        <v>1829</v>
      </c>
      <c r="F607" s="141" t="s">
        <v>1756</v>
      </c>
      <c r="G607" s="154" t="str">
        <f t="shared" si="144"/>
        <v>/</v>
      </c>
      <c r="H607" s="141" t="str">
        <f t="shared" si="145"/>
        <v>/</v>
      </c>
      <c r="I607" s="139" t="e">
        <f t="shared" si="139"/>
        <v>#NUM!</v>
      </c>
      <c r="J607" s="139" t="e">
        <f t="shared" si="140"/>
        <v>#NUM!</v>
      </c>
      <c r="K607" s="155">
        <f t="shared" si="143"/>
        <v>-1</v>
      </c>
      <c r="N607" s="139">
        <f t="shared" si="141"/>
        <v>0</v>
      </c>
      <c r="O607" s="139">
        <f t="shared" si="142"/>
        <v>1</v>
      </c>
      <c r="P607" s="155"/>
      <c r="Q607" s="186"/>
      <c r="R607" s="186" t="s">
        <v>873</v>
      </c>
      <c r="S607" s="139"/>
      <c r="V607" s="139"/>
    </row>
    <row r="608" spans="4:22">
      <c r="D608" s="139"/>
      <c r="E608" s="141" t="s">
        <v>1829</v>
      </c>
      <c r="F608" s="141" t="s">
        <v>1756</v>
      </c>
      <c r="G608" s="154" t="str">
        <f t="shared" si="144"/>
        <v>/</v>
      </c>
      <c r="H608" s="141" t="str">
        <f t="shared" si="145"/>
        <v>/</v>
      </c>
      <c r="I608" s="139" t="e">
        <f t="shared" si="139"/>
        <v>#NUM!</v>
      </c>
      <c r="J608" s="139" t="e">
        <f t="shared" si="140"/>
        <v>#NUM!</v>
      </c>
      <c r="K608" s="155">
        <f t="shared" si="143"/>
        <v>-1</v>
      </c>
      <c r="N608" s="139">
        <f t="shared" si="141"/>
        <v>0</v>
      </c>
      <c r="O608" s="139">
        <f t="shared" si="142"/>
        <v>1</v>
      </c>
      <c r="P608" s="155"/>
      <c r="Q608" s="186"/>
      <c r="R608" s="186" t="s">
        <v>873</v>
      </c>
      <c r="S608" s="139"/>
      <c r="V608" s="139"/>
    </row>
    <row r="609" spans="4:22">
      <c r="D609" s="139"/>
      <c r="E609" s="141" t="s">
        <v>1829</v>
      </c>
      <c r="F609" s="141" t="s">
        <v>1756</v>
      </c>
      <c r="G609" s="154" t="str">
        <f t="shared" si="144"/>
        <v>/</v>
      </c>
      <c r="H609" s="141" t="str">
        <f t="shared" si="145"/>
        <v>/</v>
      </c>
      <c r="I609" s="139" t="e">
        <f t="shared" si="139"/>
        <v>#NUM!</v>
      </c>
      <c r="J609" s="139" t="e">
        <f t="shared" si="140"/>
        <v>#NUM!</v>
      </c>
      <c r="K609" s="155">
        <f t="shared" si="143"/>
        <v>-1</v>
      </c>
      <c r="N609" s="139">
        <f t="shared" si="141"/>
        <v>0</v>
      </c>
      <c r="O609" s="139">
        <f t="shared" si="142"/>
        <v>1</v>
      </c>
      <c r="P609" s="155"/>
      <c r="Q609" s="186"/>
      <c r="R609" s="186" t="s">
        <v>873</v>
      </c>
      <c r="S609" s="139"/>
      <c r="V609" s="139"/>
    </row>
    <row r="610" spans="4:22">
      <c r="D610" s="139"/>
      <c r="E610" s="141" t="s">
        <v>1829</v>
      </c>
      <c r="F610" s="141" t="s">
        <v>1756</v>
      </c>
      <c r="G610" s="154" t="str">
        <f t="shared" si="144"/>
        <v>/</v>
      </c>
      <c r="H610" s="141" t="str">
        <f t="shared" si="145"/>
        <v>/</v>
      </c>
      <c r="I610" s="139" t="e">
        <f t="shared" si="139"/>
        <v>#NUM!</v>
      </c>
      <c r="J610" s="139" t="e">
        <f t="shared" si="140"/>
        <v>#NUM!</v>
      </c>
      <c r="K610" s="155">
        <f t="shared" si="143"/>
        <v>-1</v>
      </c>
      <c r="N610" s="139">
        <f t="shared" si="141"/>
        <v>0</v>
      </c>
      <c r="O610" s="139">
        <f t="shared" si="142"/>
        <v>1</v>
      </c>
      <c r="P610" s="155"/>
      <c r="Q610" s="186"/>
      <c r="R610" s="186" t="s">
        <v>873</v>
      </c>
      <c r="S610" s="139"/>
      <c r="V610" s="139"/>
    </row>
    <row r="611" spans="4:22">
      <c r="D611" s="139"/>
      <c r="E611" s="141" t="s">
        <v>1829</v>
      </c>
      <c r="F611" s="141" t="s">
        <v>1756</v>
      </c>
      <c r="G611" s="154" t="str">
        <f t="shared" si="144"/>
        <v>/</v>
      </c>
      <c r="H611" s="141" t="str">
        <f t="shared" si="145"/>
        <v>/</v>
      </c>
      <c r="I611" s="139" t="e">
        <f t="shared" si="139"/>
        <v>#NUM!</v>
      </c>
      <c r="J611" s="139" t="e">
        <f t="shared" si="140"/>
        <v>#NUM!</v>
      </c>
      <c r="K611" s="155">
        <f t="shared" si="143"/>
        <v>-1</v>
      </c>
      <c r="N611" s="139">
        <f t="shared" si="141"/>
        <v>0</v>
      </c>
      <c r="O611" s="139">
        <f t="shared" si="142"/>
        <v>1</v>
      </c>
      <c r="P611" s="155"/>
      <c r="Q611" s="186"/>
      <c r="R611" s="186" t="s">
        <v>873</v>
      </c>
      <c r="S611" s="139"/>
      <c r="V611" s="139"/>
    </row>
    <row r="612" spans="4:22">
      <c r="D612" s="139"/>
      <c r="E612" s="141" t="s">
        <v>1829</v>
      </c>
      <c r="F612" s="141" t="s">
        <v>1756</v>
      </c>
      <c r="G612" s="154" t="str">
        <f t="shared" si="144"/>
        <v>/</v>
      </c>
      <c r="H612" s="141" t="str">
        <f t="shared" si="145"/>
        <v>/</v>
      </c>
      <c r="I612" s="139" t="e">
        <f t="shared" si="139"/>
        <v>#NUM!</v>
      </c>
      <c r="J612" s="139" t="e">
        <f t="shared" si="140"/>
        <v>#NUM!</v>
      </c>
      <c r="K612" s="155">
        <f t="shared" si="143"/>
        <v>-1</v>
      </c>
      <c r="N612" s="139">
        <f t="shared" si="141"/>
        <v>0</v>
      </c>
      <c r="O612" s="139">
        <f t="shared" si="142"/>
        <v>1</v>
      </c>
      <c r="P612" s="155"/>
      <c r="Q612" s="186"/>
      <c r="R612" s="186" t="s">
        <v>873</v>
      </c>
      <c r="S612" s="139"/>
      <c r="V612" s="139"/>
    </row>
    <row r="613" spans="4:22">
      <c r="D613" s="139"/>
      <c r="E613" s="141" t="s">
        <v>1829</v>
      </c>
      <c r="F613" s="141" t="s">
        <v>1756</v>
      </c>
      <c r="G613" s="154" t="str">
        <f t="shared" si="144"/>
        <v>/</v>
      </c>
      <c r="H613" s="141" t="str">
        <f t="shared" si="145"/>
        <v>/</v>
      </c>
      <c r="I613" s="139" t="e">
        <f t="shared" si="139"/>
        <v>#NUM!</v>
      </c>
      <c r="J613" s="139" t="e">
        <f t="shared" si="140"/>
        <v>#NUM!</v>
      </c>
      <c r="K613" s="155">
        <f t="shared" si="143"/>
        <v>-1</v>
      </c>
      <c r="N613" s="139">
        <f t="shared" si="141"/>
        <v>0</v>
      </c>
      <c r="O613" s="139">
        <f t="shared" si="142"/>
        <v>1</v>
      </c>
      <c r="P613" s="155"/>
      <c r="Q613" s="186"/>
      <c r="R613" s="186" t="s">
        <v>873</v>
      </c>
      <c r="S613" s="139"/>
      <c r="V613" s="139"/>
    </row>
    <row r="614" spans="4:22">
      <c r="D614" s="139"/>
      <c r="E614" s="141" t="s">
        <v>1829</v>
      </c>
      <c r="F614" s="141" t="s">
        <v>1756</v>
      </c>
      <c r="G614" s="154" t="str">
        <f t="shared" si="144"/>
        <v>/</v>
      </c>
      <c r="H614" s="141" t="str">
        <f t="shared" si="145"/>
        <v>/</v>
      </c>
      <c r="I614" s="139" t="e">
        <f t="shared" si="139"/>
        <v>#NUM!</v>
      </c>
      <c r="J614" s="139" t="e">
        <f t="shared" si="140"/>
        <v>#NUM!</v>
      </c>
      <c r="K614" s="155">
        <f t="shared" si="143"/>
        <v>-1</v>
      </c>
      <c r="N614" s="139">
        <f t="shared" si="141"/>
        <v>0</v>
      </c>
      <c r="O614" s="139">
        <f t="shared" si="142"/>
        <v>1</v>
      </c>
      <c r="P614" s="155"/>
      <c r="Q614" s="186"/>
      <c r="R614" s="186" t="s">
        <v>873</v>
      </c>
      <c r="S614" s="139"/>
      <c r="V614" s="139"/>
    </row>
    <row r="615" spans="4:22">
      <c r="D615" s="139"/>
      <c r="E615" s="141" t="s">
        <v>1829</v>
      </c>
      <c r="F615" s="141" t="s">
        <v>1756</v>
      </c>
      <c r="G615" s="154" t="str">
        <f t="shared" si="144"/>
        <v>/</v>
      </c>
      <c r="H615" s="141" t="str">
        <f t="shared" si="145"/>
        <v>/</v>
      </c>
      <c r="I615" s="139" t="e">
        <f t="shared" si="139"/>
        <v>#NUM!</v>
      </c>
      <c r="J615" s="139" t="e">
        <f t="shared" si="140"/>
        <v>#NUM!</v>
      </c>
      <c r="K615" s="155">
        <f t="shared" si="143"/>
        <v>-1</v>
      </c>
      <c r="N615" s="139">
        <f t="shared" si="141"/>
        <v>0</v>
      </c>
      <c r="O615" s="139">
        <f t="shared" si="142"/>
        <v>1</v>
      </c>
      <c r="P615" s="155"/>
      <c r="Q615" s="186"/>
      <c r="R615" s="186" t="s">
        <v>873</v>
      </c>
      <c r="S615" s="139"/>
      <c r="V615" s="139"/>
    </row>
    <row r="616" spans="4:22">
      <c r="D616" s="139"/>
      <c r="E616" s="141" t="s">
        <v>1829</v>
      </c>
      <c r="F616" s="141" t="s">
        <v>1756</v>
      </c>
      <c r="G616" s="154" t="str">
        <f t="shared" si="144"/>
        <v>/</v>
      </c>
      <c r="H616" s="141" t="str">
        <f t="shared" si="145"/>
        <v>/</v>
      </c>
      <c r="I616" s="139" t="e">
        <f t="shared" si="139"/>
        <v>#NUM!</v>
      </c>
      <c r="J616" s="139" t="e">
        <f t="shared" si="140"/>
        <v>#NUM!</v>
      </c>
      <c r="K616" s="155">
        <f t="shared" si="143"/>
        <v>-1</v>
      </c>
      <c r="N616" s="139">
        <f t="shared" si="141"/>
        <v>0</v>
      </c>
      <c r="O616" s="139">
        <f t="shared" si="142"/>
        <v>1</v>
      </c>
      <c r="P616" s="155"/>
      <c r="Q616" s="186"/>
      <c r="R616" s="186" t="s">
        <v>873</v>
      </c>
      <c r="S616" s="139"/>
      <c r="V616" s="139"/>
    </row>
    <row r="617" spans="4:22">
      <c r="D617" s="139"/>
      <c r="E617" s="141" t="s">
        <v>1829</v>
      </c>
      <c r="F617" s="141" t="s">
        <v>1756</v>
      </c>
      <c r="G617" s="154" t="str">
        <f t="shared" si="144"/>
        <v>/</v>
      </c>
      <c r="H617" s="141" t="str">
        <f t="shared" si="145"/>
        <v>/</v>
      </c>
      <c r="I617" s="139" t="e">
        <f t="shared" si="139"/>
        <v>#NUM!</v>
      </c>
      <c r="J617" s="139" t="e">
        <f t="shared" si="140"/>
        <v>#NUM!</v>
      </c>
      <c r="K617" s="155">
        <f t="shared" si="143"/>
        <v>-1</v>
      </c>
      <c r="N617" s="139">
        <f t="shared" si="141"/>
        <v>0</v>
      </c>
      <c r="O617" s="139">
        <f t="shared" si="142"/>
        <v>1</v>
      </c>
      <c r="P617" s="155"/>
      <c r="Q617" s="186"/>
      <c r="R617" s="186" t="s">
        <v>873</v>
      </c>
      <c r="S617" s="139"/>
      <c r="V617" s="139"/>
    </row>
    <row r="618" spans="4:22">
      <c r="D618" s="139"/>
      <c r="E618" s="141" t="s">
        <v>1829</v>
      </c>
      <c r="F618" s="141" t="s">
        <v>1756</v>
      </c>
      <c r="G618" s="154" t="str">
        <f t="shared" si="144"/>
        <v>/</v>
      </c>
      <c r="H618" s="141" t="str">
        <f t="shared" si="145"/>
        <v>/</v>
      </c>
      <c r="I618" s="139" t="e">
        <f t="shared" si="139"/>
        <v>#NUM!</v>
      </c>
      <c r="J618" s="139" t="e">
        <f t="shared" si="140"/>
        <v>#NUM!</v>
      </c>
      <c r="K618" s="155">
        <f t="shared" si="143"/>
        <v>-1</v>
      </c>
      <c r="N618" s="139">
        <f t="shared" si="141"/>
        <v>0</v>
      </c>
      <c r="O618" s="139">
        <f t="shared" si="142"/>
        <v>1</v>
      </c>
      <c r="P618" s="155"/>
      <c r="Q618" s="186"/>
      <c r="R618" s="186" t="s">
        <v>873</v>
      </c>
      <c r="S618" s="139"/>
      <c r="V618" s="139"/>
    </row>
    <row r="619" spans="4:22">
      <c r="D619" s="139"/>
      <c r="E619" s="141" t="s">
        <v>1829</v>
      </c>
      <c r="F619" s="141" t="s">
        <v>1756</v>
      </c>
      <c r="G619" s="154" t="str">
        <f t="shared" si="144"/>
        <v>/</v>
      </c>
      <c r="H619" s="141" t="str">
        <f t="shared" si="145"/>
        <v>/</v>
      </c>
      <c r="I619" s="139" t="e">
        <f t="shared" si="139"/>
        <v>#NUM!</v>
      </c>
      <c r="J619" s="139" t="e">
        <f t="shared" si="140"/>
        <v>#NUM!</v>
      </c>
      <c r="K619" s="155">
        <f t="shared" si="143"/>
        <v>-1</v>
      </c>
      <c r="N619" s="139">
        <f t="shared" si="141"/>
        <v>0</v>
      </c>
      <c r="O619" s="139">
        <f t="shared" si="142"/>
        <v>1</v>
      </c>
      <c r="P619" s="155"/>
      <c r="Q619" s="186"/>
      <c r="R619" s="186" t="s">
        <v>873</v>
      </c>
      <c r="S619" s="139"/>
      <c r="V619" s="139"/>
    </row>
    <row r="620" spans="4:22">
      <c r="D620" s="139"/>
      <c r="E620" s="141" t="s">
        <v>1829</v>
      </c>
      <c r="F620" s="141" t="s">
        <v>1756</v>
      </c>
      <c r="G620" s="154" t="str">
        <f t="shared" si="144"/>
        <v>/</v>
      </c>
      <c r="H620" s="141" t="str">
        <f t="shared" si="145"/>
        <v>/</v>
      </c>
      <c r="I620" s="139" t="e">
        <f t="shared" si="139"/>
        <v>#NUM!</v>
      </c>
      <c r="J620" s="139" t="e">
        <f t="shared" si="140"/>
        <v>#NUM!</v>
      </c>
      <c r="K620" s="155">
        <f t="shared" si="143"/>
        <v>-1</v>
      </c>
      <c r="N620" s="139">
        <f t="shared" si="141"/>
        <v>0</v>
      </c>
      <c r="O620" s="139">
        <f t="shared" si="142"/>
        <v>1</v>
      </c>
      <c r="P620" s="155"/>
      <c r="Q620" s="186"/>
      <c r="R620" s="186" t="s">
        <v>873</v>
      </c>
      <c r="S620" s="139"/>
      <c r="V620" s="139"/>
    </row>
    <row r="621" spans="4:22">
      <c r="D621" s="139"/>
      <c r="E621" s="141" t="s">
        <v>1829</v>
      </c>
      <c r="F621" s="141" t="s">
        <v>1756</v>
      </c>
      <c r="G621" s="154" t="str">
        <f t="shared" si="144"/>
        <v>/</v>
      </c>
      <c r="H621" s="141" t="str">
        <f t="shared" si="145"/>
        <v>/</v>
      </c>
      <c r="I621" s="139" t="e">
        <f t="shared" si="139"/>
        <v>#NUM!</v>
      </c>
      <c r="J621" s="139" t="e">
        <f t="shared" si="140"/>
        <v>#NUM!</v>
      </c>
      <c r="K621" s="155">
        <f t="shared" si="143"/>
        <v>-1</v>
      </c>
      <c r="N621" s="139">
        <f t="shared" si="141"/>
        <v>0</v>
      </c>
      <c r="O621" s="139">
        <f t="shared" si="142"/>
        <v>1</v>
      </c>
      <c r="P621" s="155"/>
      <c r="Q621" s="186"/>
      <c r="R621" s="186" t="s">
        <v>873</v>
      </c>
      <c r="S621" s="139"/>
      <c r="V621" s="139"/>
    </row>
    <row r="622" spans="4:22">
      <c r="D622" s="139"/>
      <c r="E622" s="141" t="s">
        <v>1829</v>
      </c>
      <c r="F622" s="141" t="s">
        <v>1756</v>
      </c>
      <c r="G622" s="154" t="str">
        <f t="shared" si="144"/>
        <v>/</v>
      </c>
      <c r="H622" s="141" t="str">
        <f t="shared" si="145"/>
        <v>/</v>
      </c>
      <c r="I622" s="139" t="e">
        <f t="shared" si="139"/>
        <v>#NUM!</v>
      </c>
      <c r="J622" s="139" t="e">
        <f t="shared" si="140"/>
        <v>#NUM!</v>
      </c>
      <c r="K622" s="155">
        <f t="shared" si="143"/>
        <v>-1</v>
      </c>
      <c r="N622" s="139">
        <f t="shared" si="141"/>
        <v>0</v>
      </c>
      <c r="O622" s="139">
        <f t="shared" si="142"/>
        <v>1</v>
      </c>
      <c r="P622" s="155"/>
      <c r="Q622" s="186"/>
      <c r="R622" s="186" t="s">
        <v>873</v>
      </c>
      <c r="S622" s="139"/>
      <c r="V622" s="139"/>
    </row>
    <row r="623" spans="4:22">
      <c r="D623" s="139"/>
      <c r="E623" s="141" t="s">
        <v>1829</v>
      </c>
      <c r="F623" s="141" t="s">
        <v>1756</v>
      </c>
      <c r="G623" s="154" t="str">
        <f t="shared" si="144"/>
        <v>/</v>
      </c>
      <c r="H623" s="141" t="str">
        <f t="shared" si="145"/>
        <v>/</v>
      </c>
      <c r="I623" s="139" t="e">
        <f t="shared" si="139"/>
        <v>#NUM!</v>
      </c>
      <c r="J623" s="139" t="e">
        <f t="shared" si="140"/>
        <v>#NUM!</v>
      </c>
      <c r="K623" s="155">
        <f t="shared" si="143"/>
        <v>-1</v>
      </c>
      <c r="N623" s="139">
        <f t="shared" si="141"/>
        <v>0</v>
      </c>
      <c r="O623" s="139">
        <f t="shared" si="142"/>
        <v>1</v>
      </c>
      <c r="P623" s="155"/>
      <c r="Q623" s="186"/>
      <c r="R623" s="186" t="s">
        <v>873</v>
      </c>
      <c r="S623" s="139"/>
      <c r="V623" s="139"/>
    </row>
    <row r="624" spans="4:22">
      <c r="D624" s="139"/>
      <c r="E624" s="141" t="s">
        <v>1829</v>
      </c>
      <c r="F624" s="141" t="s">
        <v>1756</v>
      </c>
      <c r="G624" s="154" t="str">
        <f t="shared" si="144"/>
        <v>/</v>
      </c>
      <c r="H624" s="141" t="str">
        <f t="shared" si="145"/>
        <v>/</v>
      </c>
      <c r="I624" s="139" t="e">
        <f t="shared" si="139"/>
        <v>#NUM!</v>
      </c>
      <c r="J624" s="139" t="e">
        <f t="shared" si="140"/>
        <v>#NUM!</v>
      </c>
      <c r="K624" s="155">
        <f t="shared" si="143"/>
        <v>-1</v>
      </c>
      <c r="N624" s="139">
        <f t="shared" si="141"/>
        <v>0</v>
      </c>
      <c r="O624" s="139">
        <f t="shared" si="142"/>
        <v>1</v>
      </c>
      <c r="P624" s="155"/>
      <c r="Q624" s="186"/>
      <c r="R624" s="186" t="s">
        <v>873</v>
      </c>
      <c r="S624" s="139"/>
      <c r="V624" s="139"/>
    </row>
    <row r="625" spans="4:22">
      <c r="D625" s="139"/>
      <c r="E625" s="141" t="s">
        <v>1829</v>
      </c>
      <c r="F625" s="141" t="s">
        <v>1756</v>
      </c>
      <c r="G625" s="154" t="str">
        <f t="shared" si="144"/>
        <v>/</v>
      </c>
      <c r="H625" s="141" t="str">
        <f t="shared" si="145"/>
        <v>/</v>
      </c>
      <c r="I625" s="139" t="e">
        <f t="shared" si="139"/>
        <v>#NUM!</v>
      </c>
      <c r="J625" s="139" t="e">
        <f t="shared" si="140"/>
        <v>#NUM!</v>
      </c>
      <c r="K625" s="155">
        <f t="shared" si="143"/>
        <v>-1</v>
      </c>
      <c r="N625" s="139">
        <f t="shared" si="141"/>
        <v>0</v>
      </c>
      <c r="O625" s="139">
        <f t="shared" si="142"/>
        <v>1</v>
      </c>
      <c r="P625" s="155"/>
      <c r="Q625" s="186"/>
      <c r="R625" s="186" t="s">
        <v>873</v>
      </c>
      <c r="S625" s="139"/>
      <c r="V625" s="139"/>
    </row>
    <row r="626" spans="4:22">
      <c r="D626" s="139"/>
      <c r="E626" s="141" t="s">
        <v>1829</v>
      </c>
      <c r="F626" s="141" t="s">
        <v>1756</v>
      </c>
      <c r="G626" s="154" t="str">
        <f t="shared" si="144"/>
        <v>/</v>
      </c>
      <c r="H626" s="141" t="str">
        <f t="shared" si="145"/>
        <v>/</v>
      </c>
      <c r="I626" s="139" t="e">
        <f t="shared" si="139"/>
        <v>#NUM!</v>
      </c>
      <c r="J626" s="139" t="e">
        <f t="shared" si="140"/>
        <v>#NUM!</v>
      </c>
      <c r="K626" s="155">
        <f t="shared" si="143"/>
        <v>-1</v>
      </c>
      <c r="N626" s="139">
        <f t="shared" si="141"/>
        <v>0</v>
      </c>
      <c r="O626" s="139">
        <f t="shared" si="142"/>
        <v>1</v>
      </c>
      <c r="P626" s="155"/>
      <c r="Q626" s="186"/>
      <c r="R626" s="186" t="s">
        <v>873</v>
      </c>
      <c r="S626" s="139"/>
      <c r="V626" s="139"/>
    </row>
    <row r="627" spans="4:22">
      <c r="D627" s="139"/>
      <c r="E627" s="141" t="s">
        <v>1829</v>
      </c>
      <c r="F627" s="141" t="s">
        <v>1756</v>
      </c>
      <c r="G627" s="154" t="str">
        <f t="shared" si="144"/>
        <v>/</v>
      </c>
      <c r="H627" s="141" t="str">
        <f t="shared" si="145"/>
        <v>/</v>
      </c>
      <c r="I627" s="139" t="e">
        <f t="shared" ref="I627:I690" si="146">DAY(K627)</f>
        <v>#NUM!</v>
      </c>
      <c r="J627" s="139" t="e">
        <f t="shared" ref="J627:J690" si="147">MONTH(K627)</f>
        <v>#NUM!</v>
      </c>
      <c r="K627" s="155">
        <f t="shared" si="143"/>
        <v>-1</v>
      </c>
      <c r="N627" s="139">
        <f t="shared" ref="N627:N690" si="148">DAY(P627)</f>
        <v>0</v>
      </c>
      <c r="O627" s="139">
        <f t="shared" ref="O627:O690" si="149">MONTH(P627)</f>
        <v>1</v>
      </c>
      <c r="P627" s="155"/>
      <c r="Q627" s="186"/>
      <c r="R627" s="186" t="s">
        <v>873</v>
      </c>
      <c r="S627" s="139"/>
      <c r="V627" s="139"/>
    </row>
    <row r="628" spans="4:22">
      <c r="D628" s="139"/>
      <c r="E628" s="141" t="s">
        <v>1829</v>
      </c>
      <c r="F628" s="141" t="s">
        <v>1756</v>
      </c>
      <c r="G628" s="154" t="str">
        <f t="shared" si="144"/>
        <v>/</v>
      </c>
      <c r="H628" s="141" t="str">
        <f t="shared" si="145"/>
        <v>/</v>
      </c>
      <c r="I628" s="139" t="e">
        <f t="shared" si="146"/>
        <v>#NUM!</v>
      </c>
      <c r="J628" s="139" t="e">
        <f t="shared" si="147"/>
        <v>#NUM!</v>
      </c>
      <c r="K628" s="155">
        <f t="shared" si="143"/>
        <v>-1</v>
      </c>
      <c r="N628" s="139">
        <f t="shared" si="148"/>
        <v>0</v>
      </c>
      <c r="O628" s="139">
        <f t="shared" si="149"/>
        <v>1</v>
      </c>
      <c r="P628" s="155"/>
      <c r="Q628" s="186"/>
      <c r="R628" s="186" t="s">
        <v>873</v>
      </c>
      <c r="S628" s="139"/>
      <c r="V628" s="139"/>
    </row>
    <row r="629" spans="4:22">
      <c r="D629" s="139"/>
      <c r="E629" s="141" t="s">
        <v>1829</v>
      </c>
      <c r="F629" s="141" t="s">
        <v>1756</v>
      </c>
      <c r="G629" s="154" t="str">
        <f t="shared" si="144"/>
        <v>/</v>
      </c>
      <c r="H629" s="141" t="str">
        <f t="shared" si="145"/>
        <v>/</v>
      </c>
      <c r="I629" s="139" t="e">
        <f t="shared" si="146"/>
        <v>#NUM!</v>
      </c>
      <c r="J629" s="139" t="e">
        <f t="shared" si="147"/>
        <v>#NUM!</v>
      </c>
      <c r="K629" s="155">
        <f t="shared" si="143"/>
        <v>-1</v>
      </c>
      <c r="N629" s="139">
        <f t="shared" si="148"/>
        <v>0</v>
      </c>
      <c r="O629" s="139">
        <f t="shared" si="149"/>
        <v>1</v>
      </c>
      <c r="P629" s="155"/>
      <c r="Q629" s="186"/>
      <c r="R629" s="186" t="s">
        <v>873</v>
      </c>
      <c r="S629" s="139"/>
      <c r="V629" s="139"/>
    </row>
    <row r="630" spans="4:22">
      <c r="D630" s="139"/>
      <c r="E630" s="141" t="s">
        <v>1829</v>
      </c>
      <c r="F630" s="141" t="s">
        <v>1756</v>
      </c>
      <c r="G630" s="154" t="str">
        <f t="shared" si="144"/>
        <v>/</v>
      </c>
      <c r="H630" s="141" t="str">
        <f t="shared" si="145"/>
        <v>/</v>
      </c>
      <c r="I630" s="139" t="e">
        <f t="shared" si="146"/>
        <v>#NUM!</v>
      </c>
      <c r="J630" s="139" t="e">
        <f t="shared" si="147"/>
        <v>#NUM!</v>
      </c>
      <c r="K630" s="155">
        <f t="shared" si="143"/>
        <v>-1</v>
      </c>
      <c r="N630" s="139">
        <f t="shared" si="148"/>
        <v>0</v>
      </c>
      <c r="O630" s="139">
        <f t="shared" si="149"/>
        <v>1</v>
      </c>
      <c r="P630" s="155"/>
      <c r="Q630" s="186"/>
      <c r="R630" s="186" t="s">
        <v>873</v>
      </c>
      <c r="S630" s="139"/>
      <c r="V630" s="139"/>
    </row>
    <row r="631" spans="4:22">
      <c r="D631" s="139"/>
      <c r="E631" s="141" t="s">
        <v>1829</v>
      </c>
      <c r="F631" s="141" t="s">
        <v>1756</v>
      </c>
      <c r="G631" s="154" t="str">
        <f t="shared" si="144"/>
        <v>/</v>
      </c>
      <c r="H631" s="141" t="str">
        <f t="shared" si="145"/>
        <v>/</v>
      </c>
      <c r="I631" s="139" t="e">
        <f t="shared" si="146"/>
        <v>#NUM!</v>
      </c>
      <c r="J631" s="139" t="e">
        <f t="shared" si="147"/>
        <v>#NUM!</v>
      </c>
      <c r="K631" s="155">
        <f t="shared" si="143"/>
        <v>-1</v>
      </c>
      <c r="N631" s="139">
        <f t="shared" si="148"/>
        <v>0</v>
      </c>
      <c r="O631" s="139">
        <f t="shared" si="149"/>
        <v>1</v>
      </c>
      <c r="P631" s="155"/>
      <c r="Q631" s="186"/>
      <c r="R631" s="186" t="s">
        <v>873</v>
      </c>
      <c r="S631" s="139"/>
      <c r="V631" s="139"/>
    </row>
    <row r="632" spans="4:22">
      <c r="D632" s="139"/>
      <c r="E632" s="141" t="s">
        <v>1829</v>
      </c>
      <c r="F632" s="141" t="s">
        <v>1756</v>
      </c>
      <c r="G632" s="154" t="str">
        <f t="shared" si="144"/>
        <v>/</v>
      </c>
      <c r="H632" s="141" t="str">
        <f t="shared" si="145"/>
        <v>/</v>
      </c>
      <c r="I632" s="139" t="e">
        <f t="shared" si="146"/>
        <v>#NUM!</v>
      </c>
      <c r="J632" s="139" t="e">
        <f t="shared" si="147"/>
        <v>#NUM!</v>
      </c>
      <c r="K632" s="155">
        <f t="shared" si="143"/>
        <v>-1</v>
      </c>
      <c r="N632" s="139">
        <f t="shared" si="148"/>
        <v>0</v>
      </c>
      <c r="O632" s="139">
        <f t="shared" si="149"/>
        <v>1</v>
      </c>
      <c r="P632" s="155"/>
      <c r="Q632" s="186"/>
      <c r="R632" s="186" t="s">
        <v>873</v>
      </c>
      <c r="S632" s="139"/>
      <c r="V632" s="139"/>
    </row>
    <row r="633" spans="4:22">
      <c r="D633" s="139"/>
      <c r="E633" s="141" t="s">
        <v>1829</v>
      </c>
      <c r="F633" s="141" t="s">
        <v>1756</v>
      </c>
      <c r="G633" s="154" t="str">
        <f t="shared" si="144"/>
        <v>/</v>
      </c>
      <c r="H633" s="141" t="str">
        <f t="shared" si="145"/>
        <v>/</v>
      </c>
      <c r="I633" s="139" t="e">
        <f t="shared" si="146"/>
        <v>#NUM!</v>
      </c>
      <c r="J633" s="139" t="e">
        <f t="shared" si="147"/>
        <v>#NUM!</v>
      </c>
      <c r="K633" s="155">
        <f t="shared" si="143"/>
        <v>-1</v>
      </c>
      <c r="N633" s="139">
        <f t="shared" si="148"/>
        <v>0</v>
      </c>
      <c r="O633" s="139">
        <f t="shared" si="149"/>
        <v>1</v>
      </c>
      <c r="P633" s="155"/>
      <c r="Q633" s="186"/>
      <c r="R633" s="186" t="s">
        <v>873</v>
      </c>
      <c r="S633" s="139"/>
      <c r="V633" s="139"/>
    </row>
    <row r="634" spans="4:22">
      <c r="D634" s="139"/>
      <c r="E634" s="141" t="s">
        <v>1829</v>
      </c>
      <c r="F634" s="141" t="s">
        <v>1756</v>
      </c>
      <c r="G634" s="154" t="str">
        <f t="shared" si="144"/>
        <v>/</v>
      </c>
      <c r="H634" s="141" t="str">
        <f t="shared" si="145"/>
        <v>/</v>
      </c>
      <c r="I634" s="139" t="e">
        <f t="shared" si="146"/>
        <v>#NUM!</v>
      </c>
      <c r="J634" s="139" t="e">
        <f t="shared" si="147"/>
        <v>#NUM!</v>
      </c>
      <c r="K634" s="155">
        <f t="shared" ref="K634:K697" si="150">P634-1</f>
        <v>-1</v>
      </c>
      <c r="N634" s="139">
        <f t="shared" si="148"/>
        <v>0</v>
      </c>
      <c r="O634" s="139">
        <f t="shared" si="149"/>
        <v>1</v>
      </c>
      <c r="P634" s="155"/>
      <c r="Q634" s="186"/>
      <c r="R634" s="186" t="s">
        <v>873</v>
      </c>
      <c r="S634" s="139"/>
      <c r="V634" s="139"/>
    </row>
    <row r="635" spans="4:22">
      <c r="D635" s="139"/>
      <c r="E635" s="141" t="s">
        <v>1829</v>
      </c>
      <c r="F635" s="141" t="s">
        <v>1756</v>
      </c>
      <c r="G635" s="154" t="str">
        <f t="shared" si="144"/>
        <v>/</v>
      </c>
      <c r="H635" s="141" t="str">
        <f t="shared" si="145"/>
        <v>/</v>
      </c>
      <c r="I635" s="139" t="e">
        <f t="shared" si="146"/>
        <v>#NUM!</v>
      </c>
      <c r="J635" s="139" t="e">
        <f t="shared" si="147"/>
        <v>#NUM!</v>
      </c>
      <c r="K635" s="155">
        <f t="shared" si="150"/>
        <v>-1</v>
      </c>
      <c r="N635" s="139">
        <f t="shared" si="148"/>
        <v>0</v>
      </c>
      <c r="O635" s="139">
        <f t="shared" si="149"/>
        <v>1</v>
      </c>
      <c r="P635" s="155"/>
      <c r="Q635" s="186"/>
      <c r="R635" s="186" t="s">
        <v>873</v>
      </c>
      <c r="S635" s="139"/>
      <c r="V635" s="139"/>
    </row>
    <row r="636" spans="4:22">
      <c r="D636" s="139"/>
      <c r="E636" s="141" t="s">
        <v>1829</v>
      </c>
      <c r="F636" s="141" t="s">
        <v>1756</v>
      </c>
      <c r="G636" s="154" t="str">
        <f t="shared" si="144"/>
        <v>/</v>
      </c>
      <c r="H636" s="141" t="str">
        <f t="shared" si="145"/>
        <v>/</v>
      </c>
      <c r="I636" s="139" t="e">
        <f t="shared" si="146"/>
        <v>#NUM!</v>
      </c>
      <c r="J636" s="139" t="e">
        <f t="shared" si="147"/>
        <v>#NUM!</v>
      </c>
      <c r="K636" s="155">
        <f t="shared" si="150"/>
        <v>-1</v>
      </c>
      <c r="N636" s="139">
        <f t="shared" si="148"/>
        <v>0</v>
      </c>
      <c r="O636" s="139">
        <f t="shared" si="149"/>
        <v>1</v>
      </c>
      <c r="P636" s="155"/>
      <c r="Q636" s="186"/>
      <c r="R636" s="186" t="s">
        <v>873</v>
      </c>
      <c r="S636" s="139"/>
      <c r="V636" s="139"/>
    </row>
    <row r="637" spans="4:22">
      <c r="D637" s="139"/>
      <c r="E637" s="141" t="s">
        <v>1829</v>
      </c>
      <c r="F637" s="141" t="s">
        <v>1756</v>
      </c>
      <c r="G637" s="154" t="str">
        <f t="shared" si="144"/>
        <v>/</v>
      </c>
      <c r="H637" s="141" t="str">
        <f t="shared" si="145"/>
        <v>/</v>
      </c>
      <c r="I637" s="139" t="e">
        <f t="shared" si="146"/>
        <v>#NUM!</v>
      </c>
      <c r="J637" s="139" t="e">
        <f t="shared" si="147"/>
        <v>#NUM!</v>
      </c>
      <c r="K637" s="155">
        <f t="shared" si="150"/>
        <v>-1</v>
      </c>
      <c r="N637" s="139">
        <f t="shared" si="148"/>
        <v>0</v>
      </c>
      <c r="O637" s="139">
        <f t="shared" si="149"/>
        <v>1</v>
      </c>
      <c r="P637" s="155"/>
      <c r="Q637" s="186"/>
      <c r="R637" s="186" t="s">
        <v>873</v>
      </c>
      <c r="S637" s="139"/>
      <c r="V637" s="139"/>
    </row>
    <row r="638" spans="4:22">
      <c r="D638" s="139"/>
      <c r="E638" s="141" t="s">
        <v>1829</v>
      </c>
      <c r="F638" s="141" t="s">
        <v>1756</v>
      </c>
      <c r="G638" s="154" t="str">
        <f t="shared" si="144"/>
        <v>/</v>
      </c>
      <c r="H638" s="141" t="str">
        <f t="shared" si="145"/>
        <v>/</v>
      </c>
      <c r="I638" s="139" t="e">
        <f t="shared" si="146"/>
        <v>#NUM!</v>
      </c>
      <c r="J638" s="139" t="e">
        <f t="shared" si="147"/>
        <v>#NUM!</v>
      </c>
      <c r="K638" s="155">
        <f t="shared" si="150"/>
        <v>-1</v>
      </c>
      <c r="N638" s="139">
        <f t="shared" si="148"/>
        <v>0</v>
      </c>
      <c r="O638" s="139">
        <f t="shared" si="149"/>
        <v>1</v>
      </c>
      <c r="P638" s="155"/>
      <c r="Q638" s="186"/>
      <c r="R638" s="186" t="s">
        <v>873</v>
      </c>
      <c r="S638" s="139"/>
      <c r="V638" s="139"/>
    </row>
    <row r="639" spans="4:22">
      <c r="D639" s="139"/>
      <c r="E639" s="141" t="s">
        <v>1829</v>
      </c>
      <c r="F639" s="141" t="s">
        <v>1756</v>
      </c>
      <c r="G639" s="154" t="str">
        <f t="shared" si="144"/>
        <v>/</v>
      </c>
      <c r="H639" s="141" t="str">
        <f t="shared" si="145"/>
        <v>/</v>
      </c>
      <c r="I639" s="139" t="e">
        <f t="shared" si="146"/>
        <v>#NUM!</v>
      </c>
      <c r="J639" s="139" t="e">
        <f t="shared" si="147"/>
        <v>#NUM!</v>
      </c>
      <c r="K639" s="155">
        <f t="shared" si="150"/>
        <v>-1</v>
      </c>
      <c r="N639" s="139">
        <f t="shared" si="148"/>
        <v>0</v>
      </c>
      <c r="O639" s="139">
        <f t="shared" si="149"/>
        <v>1</v>
      </c>
      <c r="P639" s="155"/>
      <c r="Q639" s="186"/>
      <c r="R639" s="186" t="s">
        <v>873</v>
      </c>
      <c r="S639" s="139"/>
      <c r="V639" s="139"/>
    </row>
    <row r="640" spans="4:22">
      <c r="D640" s="139"/>
      <c r="E640" s="141" t="s">
        <v>1829</v>
      </c>
      <c r="F640" s="141" t="s">
        <v>1756</v>
      </c>
      <c r="G640" s="154" t="str">
        <f t="shared" si="144"/>
        <v>/</v>
      </c>
      <c r="H640" s="141" t="str">
        <f t="shared" si="145"/>
        <v>/</v>
      </c>
      <c r="I640" s="139" t="e">
        <f t="shared" si="146"/>
        <v>#NUM!</v>
      </c>
      <c r="J640" s="139" t="e">
        <f t="shared" si="147"/>
        <v>#NUM!</v>
      </c>
      <c r="K640" s="155">
        <f t="shared" si="150"/>
        <v>-1</v>
      </c>
      <c r="N640" s="139">
        <f t="shared" si="148"/>
        <v>0</v>
      </c>
      <c r="O640" s="139">
        <f t="shared" si="149"/>
        <v>1</v>
      </c>
      <c r="P640" s="155"/>
      <c r="Q640" s="186"/>
      <c r="R640" s="186" t="s">
        <v>873</v>
      </c>
      <c r="S640" s="139"/>
      <c r="V640" s="139"/>
    </row>
    <row r="641" spans="4:22">
      <c r="D641" s="139"/>
      <c r="E641" s="141" t="s">
        <v>1829</v>
      </c>
      <c r="F641" s="141" t="s">
        <v>1756</v>
      </c>
      <c r="G641" s="154" t="str">
        <f t="shared" ref="G641:G704" si="151">A641&amp;"/"&amp;B641</f>
        <v>/</v>
      </c>
      <c r="H641" s="141" t="str">
        <f t="shared" ref="H641:H704" si="152">A641&amp;"/"&amp;B641</f>
        <v>/</v>
      </c>
      <c r="I641" s="139" t="e">
        <f t="shared" si="146"/>
        <v>#NUM!</v>
      </c>
      <c r="J641" s="139" t="e">
        <f t="shared" si="147"/>
        <v>#NUM!</v>
      </c>
      <c r="K641" s="155">
        <f t="shared" si="150"/>
        <v>-1</v>
      </c>
      <c r="N641" s="139">
        <f t="shared" si="148"/>
        <v>0</v>
      </c>
      <c r="O641" s="139">
        <f t="shared" si="149"/>
        <v>1</v>
      </c>
      <c r="P641" s="155"/>
      <c r="Q641" s="186"/>
      <c r="R641" s="186" t="s">
        <v>873</v>
      </c>
      <c r="S641" s="139"/>
      <c r="V641" s="139"/>
    </row>
    <row r="642" spans="4:22">
      <c r="D642" s="139"/>
      <c r="E642" s="141" t="s">
        <v>1829</v>
      </c>
      <c r="F642" s="141" t="s">
        <v>1756</v>
      </c>
      <c r="G642" s="154" t="str">
        <f t="shared" si="151"/>
        <v>/</v>
      </c>
      <c r="H642" s="141" t="str">
        <f t="shared" si="152"/>
        <v>/</v>
      </c>
      <c r="I642" s="139" t="e">
        <f t="shared" si="146"/>
        <v>#NUM!</v>
      </c>
      <c r="J642" s="139" t="e">
        <f t="shared" si="147"/>
        <v>#NUM!</v>
      </c>
      <c r="K642" s="155">
        <f t="shared" si="150"/>
        <v>-1</v>
      </c>
      <c r="N642" s="139">
        <f t="shared" si="148"/>
        <v>0</v>
      </c>
      <c r="O642" s="139">
        <f t="shared" si="149"/>
        <v>1</v>
      </c>
      <c r="P642" s="155"/>
      <c r="Q642" s="186"/>
      <c r="R642" s="186" t="s">
        <v>873</v>
      </c>
      <c r="S642" s="139"/>
      <c r="V642" s="139"/>
    </row>
    <row r="643" spans="4:22">
      <c r="D643" s="139"/>
      <c r="E643" s="141" t="s">
        <v>1829</v>
      </c>
      <c r="F643" s="141" t="s">
        <v>1756</v>
      </c>
      <c r="G643" s="154" t="str">
        <f t="shared" si="151"/>
        <v>/</v>
      </c>
      <c r="H643" s="141" t="str">
        <f t="shared" si="152"/>
        <v>/</v>
      </c>
      <c r="I643" s="139" t="e">
        <f t="shared" si="146"/>
        <v>#NUM!</v>
      </c>
      <c r="J643" s="139" t="e">
        <f t="shared" si="147"/>
        <v>#NUM!</v>
      </c>
      <c r="K643" s="155">
        <f t="shared" si="150"/>
        <v>-1</v>
      </c>
      <c r="N643" s="139">
        <f t="shared" si="148"/>
        <v>0</v>
      </c>
      <c r="O643" s="139">
        <f t="shared" si="149"/>
        <v>1</v>
      </c>
      <c r="P643" s="155"/>
      <c r="Q643" s="186"/>
      <c r="R643" s="186" t="s">
        <v>873</v>
      </c>
      <c r="S643" s="139"/>
      <c r="V643" s="139"/>
    </row>
    <row r="644" spans="4:22">
      <c r="D644" s="139"/>
      <c r="E644" s="141" t="s">
        <v>1829</v>
      </c>
      <c r="F644" s="141" t="s">
        <v>1756</v>
      </c>
      <c r="G644" s="154" t="str">
        <f t="shared" si="151"/>
        <v>/</v>
      </c>
      <c r="H644" s="141" t="str">
        <f t="shared" si="152"/>
        <v>/</v>
      </c>
      <c r="I644" s="139" t="e">
        <f t="shared" si="146"/>
        <v>#NUM!</v>
      </c>
      <c r="J644" s="139" t="e">
        <f t="shared" si="147"/>
        <v>#NUM!</v>
      </c>
      <c r="K644" s="155">
        <f t="shared" si="150"/>
        <v>-1</v>
      </c>
      <c r="N644" s="139">
        <f t="shared" si="148"/>
        <v>0</v>
      </c>
      <c r="O644" s="139">
        <f t="shared" si="149"/>
        <v>1</v>
      </c>
      <c r="P644" s="155"/>
      <c r="Q644" s="186"/>
      <c r="R644" s="186" t="s">
        <v>873</v>
      </c>
      <c r="S644" s="139"/>
      <c r="V644" s="139"/>
    </row>
    <row r="645" spans="4:22">
      <c r="D645" s="139"/>
      <c r="E645" s="141" t="s">
        <v>1829</v>
      </c>
      <c r="F645" s="141" t="s">
        <v>1756</v>
      </c>
      <c r="G645" s="154" t="str">
        <f t="shared" si="151"/>
        <v>/</v>
      </c>
      <c r="H645" s="141" t="str">
        <f t="shared" si="152"/>
        <v>/</v>
      </c>
      <c r="I645" s="139" t="e">
        <f t="shared" si="146"/>
        <v>#NUM!</v>
      </c>
      <c r="J645" s="139" t="e">
        <f t="shared" si="147"/>
        <v>#NUM!</v>
      </c>
      <c r="K645" s="155">
        <f t="shared" si="150"/>
        <v>-1</v>
      </c>
      <c r="N645" s="139">
        <f t="shared" si="148"/>
        <v>0</v>
      </c>
      <c r="O645" s="139">
        <f t="shared" si="149"/>
        <v>1</v>
      </c>
      <c r="P645" s="155"/>
      <c r="Q645" s="186"/>
      <c r="R645" s="186" t="s">
        <v>873</v>
      </c>
      <c r="S645" s="139"/>
      <c r="V645" s="139"/>
    </row>
    <row r="646" spans="4:22">
      <c r="D646" s="139"/>
      <c r="E646" s="141" t="s">
        <v>1829</v>
      </c>
      <c r="F646" s="141" t="s">
        <v>1756</v>
      </c>
      <c r="G646" s="154" t="str">
        <f t="shared" si="151"/>
        <v>/</v>
      </c>
      <c r="H646" s="141" t="str">
        <f t="shared" si="152"/>
        <v>/</v>
      </c>
      <c r="I646" s="139" t="e">
        <f t="shared" si="146"/>
        <v>#NUM!</v>
      </c>
      <c r="J646" s="139" t="e">
        <f t="shared" si="147"/>
        <v>#NUM!</v>
      </c>
      <c r="K646" s="155">
        <f t="shared" si="150"/>
        <v>-1</v>
      </c>
      <c r="N646" s="139">
        <f t="shared" si="148"/>
        <v>0</v>
      </c>
      <c r="O646" s="139">
        <f t="shared" si="149"/>
        <v>1</v>
      </c>
      <c r="P646" s="155"/>
      <c r="Q646" s="186"/>
      <c r="R646" s="186" t="s">
        <v>873</v>
      </c>
      <c r="S646" s="139"/>
      <c r="V646" s="139"/>
    </row>
    <row r="647" spans="4:22">
      <c r="D647" s="139"/>
      <c r="E647" s="141" t="s">
        <v>1829</v>
      </c>
      <c r="F647" s="141" t="s">
        <v>1756</v>
      </c>
      <c r="G647" s="154" t="str">
        <f t="shared" si="151"/>
        <v>/</v>
      </c>
      <c r="H647" s="141" t="str">
        <f t="shared" si="152"/>
        <v>/</v>
      </c>
      <c r="I647" s="139" t="e">
        <f t="shared" si="146"/>
        <v>#NUM!</v>
      </c>
      <c r="J647" s="139" t="e">
        <f t="shared" si="147"/>
        <v>#NUM!</v>
      </c>
      <c r="K647" s="155">
        <f t="shared" si="150"/>
        <v>-1</v>
      </c>
      <c r="N647" s="139">
        <f t="shared" si="148"/>
        <v>0</v>
      </c>
      <c r="O647" s="139">
        <f t="shared" si="149"/>
        <v>1</v>
      </c>
      <c r="P647" s="155"/>
      <c r="Q647" s="186"/>
      <c r="R647" s="186" t="s">
        <v>873</v>
      </c>
      <c r="S647" s="139"/>
      <c r="V647" s="139"/>
    </row>
    <row r="648" spans="4:22">
      <c r="D648" s="139"/>
      <c r="E648" s="141" t="s">
        <v>1829</v>
      </c>
      <c r="F648" s="141" t="s">
        <v>1756</v>
      </c>
      <c r="G648" s="154" t="str">
        <f t="shared" si="151"/>
        <v>/</v>
      </c>
      <c r="H648" s="141" t="str">
        <f t="shared" si="152"/>
        <v>/</v>
      </c>
      <c r="I648" s="139" t="e">
        <f t="shared" si="146"/>
        <v>#NUM!</v>
      </c>
      <c r="J648" s="139" t="e">
        <f t="shared" si="147"/>
        <v>#NUM!</v>
      </c>
      <c r="K648" s="155">
        <f t="shared" si="150"/>
        <v>-1</v>
      </c>
      <c r="N648" s="139">
        <f t="shared" si="148"/>
        <v>0</v>
      </c>
      <c r="O648" s="139">
        <f t="shared" si="149"/>
        <v>1</v>
      </c>
      <c r="P648" s="155"/>
      <c r="Q648" s="186"/>
      <c r="R648" s="186" t="s">
        <v>873</v>
      </c>
      <c r="S648" s="139"/>
      <c r="V648" s="139"/>
    </row>
    <row r="649" spans="4:22">
      <c r="D649" s="139"/>
      <c r="E649" s="141" t="s">
        <v>1829</v>
      </c>
      <c r="F649" s="141" t="s">
        <v>1756</v>
      </c>
      <c r="G649" s="154" t="str">
        <f t="shared" si="151"/>
        <v>/</v>
      </c>
      <c r="H649" s="141" t="str">
        <f t="shared" si="152"/>
        <v>/</v>
      </c>
      <c r="I649" s="139" t="e">
        <f t="shared" si="146"/>
        <v>#NUM!</v>
      </c>
      <c r="J649" s="139" t="e">
        <f t="shared" si="147"/>
        <v>#NUM!</v>
      </c>
      <c r="K649" s="155">
        <f t="shared" si="150"/>
        <v>-1</v>
      </c>
      <c r="N649" s="139">
        <f t="shared" si="148"/>
        <v>0</v>
      </c>
      <c r="O649" s="139">
        <f t="shared" si="149"/>
        <v>1</v>
      </c>
      <c r="P649" s="155"/>
      <c r="Q649" s="186"/>
      <c r="R649" s="186" t="s">
        <v>873</v>
      </c>
      <c r="S649" s="139"/>
      <c r="V649" s="139"/>
    </row>
    <row r="650" spans="4:22">
      <c r="D650" s="139"/>
      <c r="E650" s="141" t="s">
        <v>1829</v>
      </c>
      <c r="F650" s="141" t="s">
        <v>1756</v>
      </c>
      <c r="G650" s="154" t="str">
        <f t="shared" si="151"/>
        <v>/</v>
      </c>
      <c r="H650" s="141" t="str">
        <f t="shared" si="152"/>
        <v>/</v>
      </c>
      <c r="I650" s="139" t="e">
        <f t="shared" si="146"/>
        <v>#NUM!</v>
      </c>
      <c r="J650" s="139" t="e">
        <f t="shared" si="147"/>
        <v>#NUM!</v>
      </c>
      <c r="K650" s="155">
        <f t="shared" si="150"/>
        <v>-1</v>
      </c>
      <c r="N650" s="139">
        <f t="shared" si="148"/>
        <v>0</v>
      </c>
      <c r="O650" s="139">
        <f t="shared" si="149"/>
        <v>1</v>
      </c>
      <c r="P650" s="155"/>
      <c r="Q650" s="186"/>
      <c r="R650" s="186" t="s">
        <v>873</v>
      </c>
      <c r="S650" s="139"/>
      <c r="V650" s="139"/>
    </row>
    <row r="651" spans="4:22">
      <c r="D651" s="139"/>
      <c r="E651" s="141" t="s">
        <v>1829</v>
      </c>
      <c r="F651" s="141" t="s">
        <v>1756</v>
      </c>
      <c r="G651" s="154" t="str">
        <f t="shared" si="151"/>
        <v>/</v>
      </c>
      <c r="H651" s="141" t="str">
        <f t="shared" si="152"/>
        <v>/</v>
      </c>
      <c r="I651" s="139" t="e">
        <f t="shared" si="146"/>
        <v>#NUM!</v>
      </c>
      <c r="J651" s="139" t="e">
        <f t="shared" si="147"/>
        <v>#NUM!</v>
      </c>
      <c r="K651" s="155">
        <f t="shared" si="150"/>
        <v>-1</v>
      </c>
      <c r="N651" s="139">
        <f t="shared" si="148"/>
        <v>0</v>
      </c>
      <c r="O651" s="139">
        <f t="shared" si="149"/>
        <v>1</v>
      </c>
      <c r="P651" s="155"/>
      <c r="Q651" s="186"/>
      <c r="R651" s="186" t="s">
        <v>873</v>
      </c>
      <c r="S651" s="139"/>
      <c r="V651" s="139"/>
    </row>
    <row r="652" spans="4:22">
      <c r="D652" s="139"/>
      <c r="E652" s="141" t="s">
        <v>1829</v>
      </c>
      <c r="F652" s="141" t="s">
        <v>1756</v>
      </c>
      <c r="G652" s="154" t="str">
        <f t="shared" si="151"/>
        <v>/</v>
      </c>
      <c r="H652" s="141" t="str">
        <f t="shared" si="152"/>
        <v>/</v>
      </c>
      <c r="I652" s="139" t="e">
        <f t="shared" si="146"/>
        <v>#NUM!</v>
      </c>
      <c r="J652" s="139" t="e">
        <f t="shared" si="147"/>
        <v>#NUM!</v>
      </c>
      <c r="K652" s="155">
        <f t="shared" si="150"/>
        <v>-1</v>
      </c>
      <c r="N652" s="139">
        <f t="shared" si="148"/>
        <v>0</v>
      </c>
      <c r="O652" s="139">
        <f t="shared" si="149"/>
        <v>1</v>
      </c>
      <c r="P652" s="155"/>
      <c r="Q652" s="186"/>
      <c r="R652" s="186" t="s">
        <v>873</v>
      </c>
      <c r="S652" s="139"/>
      <c r="V652" s="139"/>
    </row>
    <row r="653" spans="4:22">
      <c r="D653" s="139"/>
      <c r="E653" s="141" t="s">
        <v>1829</v>
      </c>
      <c r="F653" s="141" t="s">
        <v>1756</v>
      </c>
      <c r="G653" s="154" t="str">
        <f t="shared" si="151"/>
        <v>/</v>
      </c>
      <c r="H653" s="141" t="str">
        <f t="shared" si="152"/>
        <v>/</v>
      </c>
      <c r="I653" s="139" t="e">
        <f t="shared" si="146"/>
        <v>#NUM!</v>
      </c>
      <c r="J653" s="139" t="e">
        <f t="shared" si="147"/>
        <v>#NUM!</v>
      </c>
      <c r="K653" s="155">
        <f t="shared" si="150"/>
        <v>-1</v>
      </c>
      <c r="N653" s="139">
        <f t="shared" si="148"/>
        <v>0</v>
      </c>
      <c r="O653" s="139">
        <f t="shared" si="149"/>
        <v>1</v>
      </c>
      <c r="P653" s="155"/>
      <c r="Q653" s="186"/>
      <c r="R653" s="186" t="s">
        <v>873</v>
      </c>
      <c r="S653" s="139"/>
      <c r="V653" s="139"/>
    </row>
    <row r="654" spans="4:22">
      <c r="D654" s="139"/>
      <c r="E654" s="141" t="s">
        <v>1829</v>
      </c>
      <c r="F654" s="141" t="s">
        <v>1756</v>
      </c>
      <c r="G654" s="154" t="str">
        <f t="shared" si="151"/>
        <v>/</v>
      </c>
      <c r="H654" s="141" t="str">
        <f t="shared" si="152"/>
        <v>/</v>
      </c>
      <c r="I654" s="139" t="e">
        <f t="shared" si="146"/>
        <v>#NUM!</v>
      </c>
      <c r="J654" s="139" t="e">
        <f t="shared" si="147"/>
        <v>#NUM!</v>
      </c>
      <c r="K654" s="155">
        <f t="shared" si="150"/>
        <v>-1</v>
      </c>
      <c r="N654" s="139">
        <f t="shared" si="148"/>
        <v>0</v>
      </c>
      <c r="O654" s="139">
        <f t="shared" si="149"/>
        <v>1</v>
      </c>
      <c r="P654" s="155"/>
      <c r="Q654" s="186"/>
      <c r="R654" s="186" t="s">
        <v>873</v>
      </c>
      <c r="S654" s="139"/>
      <c r="V654" s="139"/>
    </row>
    <row r="655" spans="4:22">
      <c r="D655" s="139"/>
      <c r="E655" s="141" t="s">
        <v>1829</v>
      </c>
      <c r="F655" s="141" t="s">
        <v>1756</v>
      </c>
      <c r="G655" s="154" t="str">
        <f t="shared" si="151"/>
        <v>/</v>
      </c>
      <c r="H655" s="141" t="str">
        <f t="shared" si="152"/>
        <v>/</v>
      </c>
      <c r="I655" s="139" t="e">
        <f t="shared" si="146"/>
        <v>#NUM!</v>
      </c>
      <c r="J655" s="139" t="e">
        <f t="shared" si="147"/>
        <v>#NUM!</v>
      </c>
      <c r="K655" s="155">
        <f t="shared" si="150"/>
        <v>-1</v>
      </c>
      <c r="N655" s="139">
        <f t="shared" si="148"/>
        <v>0</v>
      </c>
      <c r="O655" s="139">
        <f t="shared" si="149"/>
        <v>1</v>
      </c>
      <c r="P655" s="155"/>
      <c r="Q655" s="186"/>
      <c r="R655" s="186" t="s">
        <v>873</v>
      </c>
      <c r="S655" s="139"/>
      <c r="V655" s="139"/>
    </row>
    <row r="656" spans="4:22">
      <c r="D656" s="139"/>
      <c r="E656" s="141" t="s">
        <v>1829</v>
      </c>
      <c r="F656" s="141" t="s">
        <v>1756</v>
      </c>
      <c r="G656" s="154" t="str">
        <f t="shared" si="151"/>
        <v>/</v>
      </c>
      <c r="H656" s="141" t="str">
        <f t="shared" si="152"/>
        <v>/</v>
      </c>
      <c r="I656" s="139" t="e">
        <f t="shared" si="146"/>
        <v>#NUM!</v>
      </c>
      <c r="J656" s="139" t="e">
        <f t="shared" si="147"/>
        <v>#NUM!</v>
      </c>
      <c r="K656" s="155">
        <f t="shared" si="150"/>
        <v>-1</v>
      </c>
      <c r="N656" s="139">
        <f t="shared" si="148"/>
        <v>0</v>
      </c>
      <c r="O656" s="139">
        <f t="shared" si="149"/>
        <v>1</v>
      </c>
      <c r="P656" s="155"/>
      <c r="Q656" s="186"/>
      <c r="R656" s="186" t="s">
        <v>873</v>
      </c>
      <c r="S656" s="139"/>
      <c r="V656" s="139"/>
    </row>
    <row r="657" spans="4:22">
      <c r="D657" s="139"/>
      <c r="E657" s="141" t="s">
        <v>1829</v>
      </c>
      <c r="F657" s="141" t="s">
        <v>1756</v>
      </c>
      <c r="G657" s="154" t="str">
        <f t="shared" si="151"/>
        <v>/</v>
      </c>
      <c r="H657" s="141" t="str">
        <f t="shared" si="152"/>
        <v>/</v>
      </c>
      <c r="I657" s="139" t="e">
        <f t="shared" si="146"/>
        <v>#NUM!</v>
      </c>
      <c r="J657" s="139" t="e">
        <f t="shared" si="147"/>
        <v>#NUM!</v>
      </c>
      <c r="K657" s="155">
        <f t="shared" si="150"/>
        <v>-1</v>
      </c>
      <c r="N657" s="139">
        <f t="shared" si="148"/>
        <v>0</v>
      </c>
      <c r="O657" s="139">
        <f t="shared" si="149"/>
        <v>1</v>
      </c>
      <c r="P657" s="155"/>
      <c r="Q657" s="186"/>
      <c r="R657" s="186" t="s">
        <v>873</v>
      </c>
      <c r="S657" s="139"/>
      <c r="V657" s="139"/>
    </row>
    <row r="658" spans="4:22">
      <c r="D658" s="139"/>
      <c r="E658" s="141" t="s">
        <v>1829</v>
      </c>
      <c r="F658" s="141" t="s">
        <v>1756</v>
      </c>
      <c r="G658" s="154" t="str">
        <f t="shared" si="151"/>
        <v>/</v>
      </c>
      <c r="H658" s="141" t="str">
        <f t="shared" si="152"/>
        <v>/</v>
      </c>
      <c r="I658" s="139" t="e">
        <f t="shared" si="146"/>
        <v>#NUM!</v>
      </c>
      <c r="J658" s="139" t="e">
        <f t="shared" si="147"/>
        <v>#NUM!</v>
      </c>
      <c r="K658" s="155">
        <f t="shared" si="150"/>
        <v>-1</v>
      </c>
      <c r="N658" s="139">
        <f t="shared" si="148"/>
        <v>0</v>
      </c>
      <c r="O658" s="139">
        <f t="shared" si="149"/>
        <v>1</v>
      </c>
      <c r="P658" s="155"/>
      <c r="Q658" s="186"/>
      <c r="R658" s="186" t="s">
        <v>873</v>
      </c>
      <c r="S658" s="139"/>
      <c r="V658" s="139"/>
    </row>
    <row r="659" spans="4:22">
      <c r="D659" s="139"/>
      <c r="E659" s="141" t="s">
        <v>1829</v>
      </c>
      <c r="F659" s="141" t="s">
        <v>1756</v>
      </c>
      <c r="G659" s="154" t="str">
        <f t="shared" si="151"/>
        <v>/</v>
      </c>
      <c r="H659" s="141" t="str">
        <f t="shared" si="152"/>
        <v>/</v>
      </c>
      <c r="I659" s="139" t="e">
        <f t="shared" si="146"/>
        <v>#NUM!</v>
      </c>
      <c r="J659" s="139" t="e">
        <f t="shared" si="147"/>
        <v>#NUM!</v>
      </c>
      <c r="K659" s="155">
        <f t="shared" si="150"/>
        <v>-1</v>
      </c>
      <c r="N659" s="139">
        <f t="shared" si="148"/>
        <v>0</v>
      </c>
      <c r="O659" s="139">
        <f t="shared" si="149"/>
        <v>1</v>
      </c>
      <c r="P659" s="155"/>
      <c r="Q659" s="186"/>
      <c r="R659" s="186" t="s">
        <v>873</v>
      </c>
      <c r="S659" s="139"/>
      <c r="V659" s="139"/>
    </row>
    <row r="660" spans="4:22">
      <c r="D660" s="139"/>
      <c r="E660" s="141" t="s">
        <v>1829</v>
      </c>
      <c r="F660" s="141" t="s">
        <v>1756</v>
      </c>
      <c r="G660" s="154" t="str">
        <f t="shared" si="151"/>
        <v>/</v>
      </c>
      <c r="H660" s="141" t="str">
        <f t="shared" si="152"/>
        <v>/</v>
      </c>
      <c r="I660" s="139" t="e">
        <f t="shared" si="146"/>
        <v>#NUM!</v>
      </c>
      <c r="J660" s="139" t="e">
        <f t="shared" si="147"/>
        <v>#NUM!</v>
      </c>
      <c r="K660" s="155">
        <f t="shared" si="150"/>
        <v>-1</v>
      </c>
      <c r="N660" s="139">
        <f t="shared" si="148"/>
        <v>0</v>
      </c>
      <c r="O660" s="139">
        <f t="shared" si="149"/>
        <v>1</v>
      </c>
      <c r="P660" s="155"/>
      <c r="Q660" s="186"/>
      <c r="R660" s="186" t="s">
        <v>873</v>
      </c>
      <c r="S660" s="139"/>
      <c r="V660" s="139"/>
    </row>
    <row r="661" spans="4:22">
      <c r="D661" s="139"/>
      <c r="E661" s="141" t="s">
        <v>1829</v>
      </c>
      <c r="F661" s="141" t="s">
        <v>1756</v>
      </c>
      <c r="G661" s="154" t="str">
        <f t="shared" si="151"/>
        <v>/</v>
      </c>
      <c r="H661" s="141" t="str">
        <f t="shared" si="152"/>
        <v>/</v>
      </c>
      <c r="I661" s="139" t="e">
        <f t="shared" si="146"/>
        <v>#NUM!</v>
      </c>
      <c r="J661" s="139" t="e">
        <f t="shared" si="147"/>
        <v>#NUM!</v>
      </c>
      <c r="K661" s="155">
        <f t="shared" si="150"/>
        <v>-1</v>
      </c>
      <c r="N661" s="139">
        <f t="shared" si="148"/>
        <v>0</v>
      </c>
      <c r="O661" s="139">
        <f t="shared" si="149"/>
        <v>1</v>
      </c>
      <c r="P661" s="155"/>
      <c r="Q661" s="186"/>
      <c r="R661" s="186" t="s">
        <v>873</v>
      </c>
      <c r="S661" s="139"/>
      <c r="V661" s="139"/>
    </row>
    <row r="662" spans="4:22">
      <c r="D662" s="139"/>
      <c r="E662" s="141" t="s">
        <v>1829</v>
      </c>
      <c r="F662" s="141" t="s">
        <v>1756</v>
      </c>
      <c r="G662" s="154" t="str">
        <f t="shared" si="151"/>
        <v>/</v>
      </c>
      <c r="H662" s="141" t="str">
        <f t="shared" si="152"/>
        <v>/</v>
      </c>
      <c r="I662" s="139" t="e">
        <f t="shared" si="146"/>
        <v>#NUM!</v>
      </c>
      <c r="J662" s="139" t="e">
        <f t="shared" si="147"/>
        <v>#NUM!</v>
      </c>
      <c r="K662" s="155">
        <f t="shared" si="150"/>
        <v>-1</v>
      </c>
      <c r="N662" s="139">
        <f t="shared" si="148"/>
        <v>0</v>
      </c>
      <c r="O662" s="139">
        <f t="shared" si="149"/>
        <v>1</v>
      </c>
      <c r="P662" s="155"/>
      <c r="Q662" s="186"/>
      <c r="R662" s="186" t="s">
        <v>873</v>
      </c>
      <c r="S662" s="139"/>
      <c r="V662" s="139"/>
    </row>
    <row r="663" spans="4:22">
      <c r="D663" s="139"/>
      <c r="E663" s="141" t="s">
        <v>1829</v>
      </c>
      <c r="F663" s="141" t="s">
        <v>1756</v>
      </c>
      <c r="G663" s="154" t="str">
        <f t="shared" si="151"/>
        <v>/</v>
      </c>
      <c r="H663" s="141" t="str">
        <f t="shared" si="152"/>
        <v>/</v>
      </c>
      <c r="I663" s="139" t="e">
        <f t="shared" si="146"/>
        <v>#NUM!</v>
      </c>
      <c r="J663" s="139" t="e">
        <f t="shared" si="147"/>
        <v>#NUM!</v>
      </c>
      <c r="K663" s="155">
        <f t="shared" si="150"/>
        <v>-1</v>
      </c>
      <c r="N663" s="139">
        <f t="shared" si="148"/>
        <v>0</v>
      </c>
      <c r="O663" s="139">
        <f t="shared" si="149"/>
        <v>1</v>
      </c>
      <c r="P663" s="155"/>
      <c r="Q663" s="186"/>
      <c r="R663" s="186" t="s">
        <v>873</v>
      </c>
      <c r="S663" s="139"/>
      <c r="V663" s="139"/>
    </row>
    <row r="664" spans="4:22">
      <c r="D664" s="139"/>
      <c r="E664" s="141" t="s">
        <v>1829</v>
      </c>
      <c r="F664" s="141" t="s">
        <v>1756</v>
      </c>
      <c r="G664" s="154" t="str">
        <f t="shared" si="151"/>
        <v>/</v>
      </c>
      <c r="H664" s="141" t="str">
        <f t="shared" si="152"/>
        <v>/</v>
      </c>
      <c r="I664" s="139" t="e">
        <f t="shared" si="146"/>
        <v>#NUM!</v>
      </c>
      <c r="J664" s="139" t="e">
        <f t="shared" si="147"/>
        <v>#NUM!</v>
      </c>
      <c r="K664" s="155">
        <f t="shared" si="150"/>
        <v>-1</v>
      </c>
      <c r="N664" s="139">
        <f t="shared" si="148"/>
        <v>0</v>
      </c>
      <c r="O664" s="139">
        <f t="shared" si="149"/>
        <v>1</v>
      </c>
      <c r="P664" s="155"/>
      <c r="Q664" s="186"/>
      <c r="R664" s="186" t="s">
        <v>873</v>
      </c>
      <c r="S664" s="139"/>
      <c r="V664" s="139"/>
    </row>
    <row r="665" spans="4:22">
      <c r="D665" s="139"/>
      <c r="E665" s="141" t="s">
        <v>1829</v>
      </c>
      <c r="F665" s="141" t="s">
        <v>1756</v>
      </c>
      <c r="G665" s="154" t="str">
        <f t="shared" si="151"/>
        <v>/</v>
      </c>
      <c r="H665" s="141" t="str">
        <f t="shared" si="152"/>
        <v>/</v>
      </c>
      <c r="I665" s="139" t="e">
        <f t="shared" si="146"/>
        <v>#NUM!</v>
      </c>
      <c r="J665" s="139" t="e">
        <f t="shared" si="147"/>
        <v>#NUM!</v>
      </c>
      <c r="K665" s="155">
        <f t="shared" si="150"/>
        <v>-1</v>
      </c>
      <c r="N665" s="139">
        <f t="shared" si="148"/>
        <v>0</v>
      </c>
      <c r="O665" s="139">
        <f t="shared" si="149"/>
        <v>1</v>
      </c>
      <c r="P665" s="155"/>
      <c r="Q665" s="186"/>
      <c r="R665" s="186" t="s">
        <v>873</v>
      </c>
      <c r="S665" s="139"/>
      <c r="V665" s="139"/>
    </row>
    <row r="666" spans="4:22">
      <c r="D666" s="139"/>
      <c r="E666" s="141" t="s">
        <v>1829</v>
      </c>
      <c r="F666" s="141" t="s">
        <v>1756</v>
      </c>
      <c r="G666" s="154" t="str">
        <f t="shared" si="151"/>
        <v>/</v>
      </c>
      <c r="H666" s="141" t="str">
        <f t="shared" si="152"/>
        <v>/</v>
      </c>
      <c r="I666" s="139" t="e">
        <f t="shared" si="146"/>
        <v>#NUM!</v>
      </c>
      <c r="J666" s="139" t="e">
        <f t="shared" si="147"/>
        <v>#NUM!</v>
      </c>
      <c r="K666" s="155">
        <f t="shared" si="150"/>
        <v>-1</v>
      </c>
      <c r="N666" s="139">
        <f t="shared" si="148"/>
        <v>0</v>
      </c>
      <c r="O666" s="139">
        <f t="shared" si="149"/>
        <v>1</v>
      </c>
      <c r="P666" s="155"/>
      <c r="Q666" s="186"/>
      <c r="R666" s="186" t="s">
        <v>873</v>
      </c>
      <c r="S666" s="139"/>
      <c r="V666" s="139"/>
    </row>
    <row r="667" spans="4:22">
      <c r="D667" s="139"/>
      <c r="E667" s="141" t="s">
        <v>1829</v>
      </c>
      <c r="F667" s="141" t="s">
        <v>1756</v>
      </c>
      <c r="G667" s="154" t="str">
        <f t="shared" si="151"/>
        <v>/</v>
      </c>
      <c r="H667" s="141" t="str">
        <f t="shared" si="152"/>
        <v>/</v>
      </c>
      <c r="I667" s="139" t="e">
        <f t="shared" si="146"/>
        <v>#NUM!</v>
      </c>
      <c r="J667" s="139" t="e">
        <f t="shared" si="147"/>
        <v>#NUM!</v>
      </c>
      <c r="K667" s="155">
        <f t="shared" si="150"/>
        <v>-1</v>
      </c>
      <c r="N667" s="139">
        <f t="shared" si="148"/>
        <v>0</v>
      </c>
      <c r="O667" s="139">
        <f t="shared" si="149"/>
        <v>1</v>
      </c>
      <c r="P667" s="155"/>
      <c r="Q667" s="186"/>
      <c r="R667" s="186" t="s">
        <v>873</v>
      </c>
      <c r="S667" s="139"/>
      <c r="V667" s="139"/>
    </row>
    <row r="668" spans="4:22">
      <c r="D668" s="139"/>
      <c r="E668" s="141" t="s">
        <v>1829</v>
      </c>
      <c r="F668" s="141" t="s">
        <v>1756</v>
      </c>
      <c r="G668" s="154" t="str">
        <f t="shared" si="151"/>
        <v>/</v>
      </c>
      <c r="H668" s="141" t="str">
        <f t="shared" si="152"/>
        <v>/</v>
      </c>
      <c r="I668" s="139" t="e">
        <f t="shared" si="146"/>
        <v>#NUM!</v>
      </c>
      <c r="J668" s="139" t="e">
        <f t="shared" si="147"/>
        <v>#NUM!</v>
      </c>
      <c r="K668" s="155">
        <f t="shared" si="150"/>
        <v>-1</v>
      </c>
      <c r="N668" s="139">
        <f t="shared" si="148"/>
        <v>0</v>
      </c>
      <c r="O668" s="139">
        <f t="shared" si="149"/>
        <v>1</v>
      </c>
      <c r="P668" s="155"/>
      <c r="Q668" s="186"/>
      <c r="R668" s="186" t="s">
        <v>873</v>
      </c>
      <c r="S668" s="139"/>
      <c r="V668" s="139"/>
    </row>
    <row r="669" spans="4:22">
      <c r="D669" s="139"/>
      <c r="E669" s="141" t="s">
        <v>1829</v>
      </c>
      <c r="F669" s="141" t="s">
        <v>1756</v>
      </c>
      <c r="G669" s="154" t="str">
        <f t="shared" si="151"/>
        <v>/</v>
      </c>
      <c r="H669" s="141" t="str">
        <f t="shared" si="152"/>
        <v>/</v>
      </c>
      <c r="I669" s="139" t="e">
        <f t="shared" si="146"/>
        <v>#NUM!</v>
      </c>
      <c r="J669" s="139" t="e">
        <f t="shared" si="147"/>
        <v>#NUM!</v>
      </c>
      <c r="K669" s="155">
        <f t="shared" si="150"/>
        <v>-1</v>
      </c>
      <c r="N669" s="139">
        <f t="shared" si="148"/>
        <v>0</v>
      </c>
      <c r="O669" s="139">
        <f t="shared" si="149"/>
        <v>1</v>
      </c>
      <c r="P669" s="155"/>
      <c r="Q669" s="186"/>
      <c r="R669" s="186" t="s">
        <v>873</v>
      </c>
      <c r="S669" s="139"/>
      <c r="V669" s="139"/>
    </row>
    <row r="670" spans="4:22">
      <c r="D670" s="139"/>
      <c r="E670" s="141" t="s">
        <v>1829</v>
      </c>
      <c r="F670" s="141" t="s">
        <v>1756</v>
      </c>
      <c r="G670" s="154" t="str">
        <f t="shared" si="151"/>
        <v>/</v>
      </c>
      <c r="H670" s="141" t="str">
        <f t="shared" si="152"/>
        <v>/</v>
      </c>
      <c r="I670" s="139" t="e">
        <f t="shared" si="146"/>
        <v>#NUM!</v>
      </c>
      <c r="J670" s="139" t="e">
        <f t="shared" si="147"/>
        <v>#NUM!</v>
      </c>
      <c r="K670" s="155">
        <f t="shared" si="150"/>
        <v>-1</v>
      </c>
      <c r="N670" s="139">
        <f t="shared" si="148"/>
        <v>0</v>
      </c>
      <c r="O670" s="139">
        <f t="shared" si="149"/>
        <v>1</v>
      </c>
      <c r="P670" s="155"/>
      <c r="Q670" s="186"/>
      <c r="R670" s="186" t="s">
        <v>873</v>
      </c>
      <c r="S670" s="139"/>
      <c r="V670" s="139"/>
    </row>
    <row r="671" spans="4:22">
      <c r="D671" s="139"/>
      <c r="E671" s="141" t="s">
        <v>1829</v>
      </c>
      <c r="F671" s="141" t="s">
        <v>1756</v>
      </c>
      <c r="G671" s="154" t="str">
        <f t="shared" si="151"/>
        <v>/</v>
      </c>
      <c r="H671" s="141" t="str">
        <f t="shared" si="152"/>
        <v>/</v>
      </c>
      <c r="I671" s="139" t="e">
        <f t="shared" si="146"/>
        <v>#NUM!</v>
      </c>
      <c r="J671" s="139" t="e">
        <f t="shared" si="147"/>
        <v>#NUM!</v>
      </c>
      <c r="K671" s="155">
        <f t="shared" si="150"/>
        <v>-1</v>
      </c>
      <c r="N671" s="139">
        <f t="shared" si="148"/>
        <v>0</v>
      </c>
      <c r="O671" s="139">
        <f t="shared" si="149"/>
        <v>1</v>
      </c>
      <c r="P671" s="155"/>
      <c r="Q671" s="186"/>
      <c r="R671" s="186" t="s">
        <v>873</v>
      </c>
      <c r="S671" s="139"/>
      <c r="V671" s="139"/>
    </row>
    <row r="672" spans="4:22">
      <c r="D672" s="139"/>
      <c r="E672" s="141" t="s">
        <v>1829</v>
      </c>
      <c r="F672" s="141" t="s">
        <v>1756</v>
      </c>
      <c r="G672" s="154" t="str">
        <f t="shared" si="151"/>
        <v>/</v>
      </c>
      <c r="H672" s="141" t="str">
        <f t="shared" si="152"/>
        <v>/</v>
      </c>
      <c r="I672" s="139" t="e">
        <f t="shared" si="146"/>
        <v>#NUM!</v>
      </c>
      <c r="J672" s="139" t="e">
        <f t="shared" si="147"/>
        <v>#NUM!</v>
      </c>
      <c r="K672" s="155">
        <f t="shared" si="150"/>
        <v>-1</v>
      </c>
      <c r="N672" s="139">
        <f t="shared" si="148"/>
        <v>0</v>
      </c>
      <c r="O672" s="139">
        <f t="shared" si="149"/>
        <v>1</v>
      </c>
      <c r="P672" s="155"/>
      <c r="Q672" s="186"/>
      <c r="R672" s="186" t="s">
        <v>873</v>
      </c>
      <c r="S672" s="139"/>
      <c r="V672" s="139"/>
    </row>
    <row r="673" spans="4:22">
      <c r="D673" s="139"/>
      <c r="E673" s="141" t="s">
        <v>1829</v>
      </c>
      <c r="F673" s="141" t="s">
        <v>1756</v>
      </c>
      <c r="G673" s="154" t="str">
        <f t="shared" si="151"/>
        <v>/</v>
      </c>
      <c r="H673" s="141" t="str">
        <f t="shared" si="152"/>
        <v>/</v>
      </c>
      <c r="I673" s="139" t="e">
        <f t="shared" si="146"/>
        <v>#NUM!</v>
      </c>
      <c r="J673" s="139" t="e">
        <f t="shared" si="147"/>
        <v>#NUM!</v>
      </c>
      <c r="K673" s="155">
        <f t="shared" si="150"/>
        <v>-1</v>
      </c>
      <c r="N673" s="139">
        <f t="shared" si="148"/>
        <v>0</v>
      </c>
      <c r="O673" s="139">
        <f t="shared" si="149"/>
        <v>1</v>
      </c>
      <c r="P673" s="155"/>
      <c r="Q673" s="186"/>
      <c r="R673" s="186" t="s">
        <v>873</v>
      </c>
      <c r="S673" s="139"/>
      <c r="V673" s="139"/>
    </row>
    <row r="674" spans="4:22">
      <c r="D674" s="139"/>
      <c r="E674" s="141" t="s">
        <v>1829</v>
      </c>
      <c r="F674" s="141" t="s">
        <v>1756</v>
      </c>
      <c r="G674" s="154" t="str">
        <f t="shared" si="151"/>
        <v>/</v>
      </c>
      <c r="H674" s="141" t="str">
        <f t="shared" si="152"/>
        <v>/</v>
      </c>
      <c r="I674" s="139" t="e">
        <f t="shared" si="146"/>
        <v>#NUM!</v>
      </c>
      <c r="J674" s="139" t="e">
        <f t="shared" si="147"/>
        <v>#NUM!</v>
      </c>
      <c r="K674" s="155">
        <f t="shared" si="150"/>
        <v>-1</v>
      </c>
      <c r="N674" s="139">
        <f t="shared" si="148"/>
        <v>0</v>
      </c>
      <c r="O674" s="139">
        <f t="shared" si="149"/>
        <v>1</v>
      </c>
      <c r="P674" s="155"/>
      <c r="Q674" s="186"/>
      <c r="R674" s="186" t="s">
        <v>873</v>
      </c>
      <c r="S674" s="139"/>
      <c r="V674" s="139"/>
    </row>
    <row r="675" spans="4:22">
      <c r="D675" s="139"/>
      <c r="E675" s="141" t="s">
        <v>1829</v>
      </c>
      <c r="F675" s="141" t="s">
        <v>1756</v>
      </c>
      <c r="G675" s="154" t="str">
        <f t="shared" si="151"/>
        <v>/</v>
      </c>
      <c r="H675" s="141" t="str">
        <f t="shared" si="152"/>
        <v>/</v>
      </c>
      <c r="I675" s="139" t="e">
        <f t="shared" si="146"/>
        <v>#NUM!</v>
      </c>
      <c r="J675" s="139" t="e">
        <f t="shared" si="147"/>
        <v>#NUM!</v>
      </c>
      <c r="K675" s="155">
        <f t="shared" si="150"/>
        <v>-1</v>
      </c>
      <c r="N675" s="139">
        <f t="shared" si="148"/>
        <v>0</v>
      </c>
      <c r="O675" s="139">
        <f t="shared" si="149"/>
        <v>1</v>
      </c>
      <c r="P675" s="155"/>
      <c r="Q675" s="186"/>
      <c r="R675" s="186" t="s">
        <v>873</v>
      </c>
      <c r="S675" s="139"/>
      <c r="V675" s="139"/>
    </row>
    <row r="676" spans="4:22">
      <c r="D676" s="139"/>
      <c r="E676" s="141" t="s">
        <v>1829</v>
      </c>
      <c r="F676" s="141" t="s">
        <v>1756</v>
      </c>
      <c r="G676" s="154" t="str">
        <f t="shared" si="151"/>
        <v>/</v>
      </c>
      <c r="H676" s="141" t="str">
        <f t="shared" si="152"/>
        <v>/</v>
      </c>
      <c r="I676" s="139" t="e">
        <f t="shared" si="146"/>
        <v>#NUM!</v>
      </c>
      <c r="J676" s="139" t="e">
        <f t="shared" si="147"/>
        <v>#NUM!</v>
      </c>
      <c r="K676" s="155">
        <f t="shared" si="150"/>
        <v>-1</v>
      </c>
      <c r="N676" s="139">
        <f t="shared" si="148"/>
        <v>0</v>
      </c>
      <c r="O676" s="139">
        <f t="shared" si="149"/>
        <v>1</v>
      </c>
      <c r="P676" s="155"/>
      <c r="Q676" s="186"/>
      <c r="R676" s="186" t="s">
        <v>873</v>
      </c>
      <c r="S676" s="139"/>
      <c r="V676" s="139"/>
    </row>
    <row r="677" spans="4:22">
      <c r="D677" s="139"/>
      <c r="E677" s="141" t="s">
        <v>1829</v>
      </c>
      <c r="F677" s="141" t="s">
        <v>1756</v>
      </c>
      <c r="G677" s="154" t="str">
        <f t="shared" si="151"/>
        <v>/</v>
      </c>
      <c r="H677" s="141" t="str">
        <f t="shared" si="152"/>
        <v>/</v>
      </c>
      <c r="I677" s="139" t="e">
        <f t="shared" si="146"/>
        <v>#NUM!</v>
      </c>
      <c r="J677" s="139" t="e">
        <f t="shared" si="147"/>
        <v>#NUM!</v>
      </c>
      <c r="K677" s="155">
        <f t="shared" si="150"/>
        <v>-1</v>
      </c>
      <c r="N677" s="139">
        <f t="shared" si="148"/>
        <v>0</v>
      </c>
      <c r="O677" s="139">
        <f t="shared" si="149"/>
        <v>1</v>
      </c>
      <c r="P677" s="155"/>
      <c r="Q677" s="186"/>
      <c r="R677" s="186" t="s">
        <v>873</v>
      </c>
      <c r="S677" s="139"/>
      <c r="V677" s="139"/>
    </row>
    <row r="678" spans="4:22">
      <c r="D678" s="139"/>
      <c r="E678" s="141" t="s">
        <v>1829</v>
      </c>
      <c r="F678" s="141" t="s">
        <v>1756</v>
      </c>
      <c r="G678" s="154" t="str">
        <f t="shared" si="151"/>
        <v>/</v>
      </c>
      <c r="H678" s="141" t="str">
        <f t="shared" si="152"/>
        <v>/</v>
      </c>
      <c r="I678" s="139" t="e">
        <f t="shared" si="146"/>
        <v>#NUM!</v>
      </c>
      <c r="J678" s="139" t="e">
        <f t="shared" si="147"/>
        <v>#NUM!</v>
      </c>
      <c r="K678" s="155">
        <f t="shared" si="150"/>
        <v>-1</v>
      </c>
      <c r="N678" s="139">
        <f t="shared" si="148"/>
        <v>0</v>
      </c>
      <c r="O678" s="139">
        <f t="shared" si="149"/>
        <v>1</v>
      </c>
      <c r="P678" s="155"/>
      <c r="Q678" s="186"/>
      <c r="R678" s="186" t="s">
        <v>873</v>
      </c>
      <c r="S678" s="139"/>
      <c r="V678" s="139"/>
    </row>
    <row r="679" spans="4:22">
      <c r="D679" s="139"/>
      <c r="E679" s="141" t="s">
        <v>1829</v>
      </c>
      <c r="F679" s="141" t="s">
        <v>1756</v>
      </c>
      <c r="G679" s="154" t="str">
        <f t="shared" si="151"/>
        <v>/</v>
      </c>
      <c r="H679" s="141" t="str">
        <f t="shared" si="152"/>
        <v>/</v>
      </c>
      <c r="I679" s="139" t="e">
        <f t="shared" si="146"/>
        <v>#NUM!</v>
      </c>
      <c r="J679" s="139" t="e">
        <f t="shared" si="147"/>
        <v>#NUM!</v>
      </c>
      <c r="K679" s="155">
        <f t="shared" si="150"/>
        <v>-1</v>
      </c>
      <c r="N679" s="139">
        <f t="shared" si="148"/>
        <v>0</v>
      </c>
      <c r="O679" s="139">
        <f t="shared" si="149"/>
        <v>1</v>
      </c>
      <c r="P679" s="155"/>
      <c r="Q679" s="186"/>
      <c r="R679" s="186" t="s">
        <v>873</v>
      </c>
      <c r="S679" s="139"/>
      <c r="V679" s="139"/>
    </row>
    <row r="680" spans="4:22">
      <c r="D680" s="139"/>
      <c r="E680" s="141" t="s">
        <v>1829</v>
      </c>
      <c r="F680" s="141" t="s">
        <v>1756</v>
      </c>
      <c r="G680" s="154" t="str">
        <f t="shared" si="151"/>
        <v>/</v>
      </c>
      <c r="H680" s="141" t="str">
        <f t="shared" si="152"/>
        <v>/</v>
      </c>
      <c r="I680" s="139" t="e">
        <f t="shared" si="146"/>
        <v>#NUM!</v>
      </c>
      <c r="J680" s="139" t="e">
        <f t="shared" si="147"/>
        <v>#NUM!</v>
      </c>
      <c r="K680" s="155">
        <f t="shared" si="150"/>
        <v>-1</v>
      </c>
      <c r="N680" s="139">
        <f t="shared" si="148"/>
        <v>0</v>
      </c>
      <c r="O680" s="139">
        <f t="shared" si="149"/>
        <v>1</v>
      </c>
      <c r="P680" s="155"/>
      <c r="Q680" s="186"/>
      <c r="R680" s="186" t="s">
        <v>873</v>
      </c>
      <c r="S680" s="139"/>
      <c r="V680" s="139"/>
    </row>
    <row r="681" spans="4:22">
      <c r="D681" s="139"/>
      <c r="E681" s="141" t="s">
        <v>1829</v>
      </c>
      <c r="F681" s="141" t="s">
        <v>1756</v>
      </c>
      <c r="G681" s="154" t="str">
        <f t="shared" si="151"/>
        <v>/</v>
      </c>
      <c r="H681" s="141" t="str">
        <f t="shared" si="152"/>
        <v>/</v>
      </c>
      <c r="I681" s="139" t="e">
        <f t="shared" si="146"/>
        <v>#NUM!</v>
      </c>
      <c r="J681" s="139" t="e">
        <f t="shared" si="147"/>
        <v>#NUM!</v>
      </c>
      <c r="K681" s="155">
        <f t="shared" si="150"/>
        <v>-1</v>
      </c>
      <c r="N681" s="139">
        <f t="shared" si="148"/>
        <v>0</v>
      </c>
      <c r="O681" s="139">
        <f t="shared" si="149"/>
        <v>1</v>
      </c>
      <c r="P681" s="155"/>
      <c r="Q681" s="186"/>
      <c r="R681" s="186" t="s">
        <v>873</v>
      </c>
      <c r="S681" s="139"/>
      <c r="V681" s="139"/>
    </row>
    <row r="682" spans="4:22">
      <c r="D682" s="139"/>
      <c r="E682" s="141" t="s">
        <v>1829</v>
      </c>
      <c r="F682" s="141" t="s">
        <v>1756</v>
      </c>
      <c r="G682" s="154" t="str">
        <f t="shared" si="151"/>
        <v>/</v>
      </c>
      <c r="H682" s="141" t="str">
        <f t="shared" si="152"/>
        <v>/</v>
      </c>
      <c r="I682" s="139" t="e">
        <f t="shared" si="146"/>
        <v>#NUM!</v>
      </c>
      <c r="J682" s="139" t="e">
        <f t="shared" si="147"/>
        <v>#NUM!</v>
      </c>
      <c r="K682" s="155">
        <f t="shared" si="150"/>
        <v>-1</v>
      </c>
      <c r="N682" s="139">
        <f t="shared" si="148"/>
        <v>0</v>
      </c>
      <c r="O682" s="139">
        <f t="shared" si="149"/>
        <v>1</v>
      </c>
      <c r="P682" s="155"/>
      <c r="Q682" s="186"/>
      <c r="R682" s="186" t="s">
        <v>873</v>
      </c>
      <c r="S682" s="139"/>
      <c r="V682" s="139"/>
    </row>
    <row r="683" spans="4:22">
      <c r="D683" s="139"/>
      <c r="E683" s="141" t="s">
        <v>1829</v>
      </c>
      <c r="F683" s="141" t="s">
        <v>1756</v>
      </c>
      <c r="G683" s="154" t="str">
        <f t="shared" si="151"/>
        <v>/</v>
      </c>
      <c r="H683" s="141" t="str">
        <f t="shared" si="152"/>
        <v>/</v>
      </c>
      <c r="I683" s="139" t="e">
        <f t="shared" si="146"/>
        <v>#NUM!</v>
      </c>
      <c r="J683" s="139" t="e">
        <f t="shared" si="147"/>
        <v>#NUM!</v>
      </c>
      <c r="K683" s="155">
        <f t="shared" si="150"/>
        <v>-1</v>
      </c>
      <c r="N683" s="139">
        <f t="shared" si="148"/>
        <v>0</v>
      </c>
      <c r="O683" s="139">
        <f t="shared" si="149"/>
        <v>1</v>
      </c>
      <c r="P683" s="155"/>
      <c r="Q683" s="186"/>
      <c r="R683" s="186" t="s">
        <v>873</v>
      </c>
      <c r="S683" s="139"/>
      <c r="V683" s="139"/>
    </row>
    <row r="684" spans="4:22">
      <c r="D684" s="139"/>
      <c r="E684" s="141" t="s">
        <v>1829</v>
      </c>
      <c r="F684" s="141" t="s">
        <v>1756</v>
      </c>
      <c r="G684" s="154" t="str">
        <f t="shared" si="151"/>
        <v>/</v>
      </c>
      <c r="H684" s="141" t="str">
        <f t="shared" si="152"/>
        <v>/</v>
      </c>
      <c r="I684" s="139" t="e">
        <f t="shared" si="146"/>
        <v>#NUM!</v>
      </c>
      <c r="J684" s="139" t="e">
        <f t="shared" si="147"/>
        <v>#NUM!</v>
      </c>
      <c r="K684" s="155">
        <f t="shared" si="150"/>
        <v>-1</v>
      </c>
      <c r="N684" s="139">
        <f t="shared" si="148"/>
        <v>0</v>
      </c>
      <c r="O684" s="139">
        <f t="shared" si="149"/>
        <v>1</v>
      </c>
      <c r="P684" s="155"/>
      <c r="Q684" s="186"/>
      <c r="R684" s="186" t="s">
        <v>873</v>
      </c>
      <c r="S684" s="139"/>
      <c r="V684" s="139"/>
    </row>
    <row r="685" spans="4:22">
      <c r="D685" s="139"/>
      <c r="E685" s="141" t="s">
        <v>1829</v>
      </c>
      <c r="F685" s="141" t="s">
        <v>1756</v>
      </c>
      <c r="G685" s="154" t="str">
        <f t="shared" si="151"/>
        <v>/</v>
      </c>
      <c r="H685" s="141" t="str">
        <f t="shared" si="152"/>
        <v>/</v>
      </c>
      <c r="I685" s="139" t="e">
        <f t="shared" si="146"/>
        <v>#NUM!</v>
      </c>
      <c r="J685" s="139" t="e">
        <f t="shared" si="147"/>
        <v>#NUM!</v>
      </c>
      <c r="K685" s="155">
        <f t="shared" si="150"/>
        <v>-1</v>
      </c>
      <c r="N685" s="139">
        <f t="shared" si="148"/>
        <v>0</v>
      </c>
      <c r="O685" s="139">
        <f t="shared" si="149"/>
        <v>1</v>
      </c>
      <c r="P685" s="155"/>
      <c r="Q685" s="186"/>
      <c r="R685" s="186" t="s">
        <v>873</v>
      </c>
      <c r="S685" s="139"/>
      <c r="V685" s="139"/>
    </row>
    <row r="686" spans="4:22">
      <c r="D686" s="139"/>
      <c r="E686" s="141" t="s">
        <v>1829</v>
      </c>
      <c r="F686" s="141" t="s">
        <v>1756</v>
      </c>
      <c r="G686" s="154" t="str">
        <f t="shared" si="151"/>
        <v>/</v>
      </c>
      <c r="H686" s="141" t="str">
        <f t="shared" si="152"/>
        <v>/</v>
      </c>
      <c r="I686" s="139" t="e">
        <f t="shared" si="146"/>
        <v>#NUM!</v>
      </c>
      <c r="J686" s="139" t="e">
        <f t="shared" si="147"/>
        <v>#NUM!</v>
      </c>
      <c r="K686" s="155">
        <f t="shared" si="150"/>
        <v>-1</v>
      </c>
      <c r="N686" s="139">
        <f t="shared" si="148"/>
        <v>0</v>
      </c>
      <c r="O686" s="139">
        <f t="shared" si="149"/>
        <v>1</v>
      </c>
      <c r="P686" s="155"/>
      <c r="Q686" s="186"/>
      <c r="R686" s="186" t="s">
        <v>873</v>
      </c>
      <c r="S686" s="139"/>
      <c r="V686" s="139"/>
    </row>
    <row r="687" spans="4:22">
      <c r="D687" s="139"/>
      <c r="E687" s="141" t="s">
        <v>1829</v>
      </c>
      <c r="F687" s="141" t="s">
        <v>1756</v>
      </c>
      <c r="G687" s="154" t="str">
        <f t="shared" si="151"/>
        <v>/</v>
      </c>
      <c r="H687" s="141" t="str">
        <f t="shared" si="152"/>
        <v>/</v>
      </c>
      <c r="I687" s="139" t="e">
        <f t="shared" si="146"/>
        <v>#NUM!</v>
      </c>
      <c r="J687" s="139" t="e">
        <f t="shared" si="147"/>
        <v>#NUM!</v>
      </c>
      <c r="K687" s="155">
        <f t="shared" si="150"/>
        <v>-1</v>
      </c>
      <c r="N687" s="139">
        <f t="shared" si="148"/>
        <v>0</v>
      </c>
      <c r="O687" s="139">
        <f t="shared" si="149"/>
        <v>1</v>
      </c>
      <c r="P687" s="155"/>
      <c r="Q687" s="186"/>
      <c r="R687" s="186" t="s">
        <v>873</v>
      </c>
      <c r="S687" s="139"/>
      <c r="V687" s="139"/>
    </row>
    <row r="688" spans="4:22">
      <c r="D688" s="139"/>
      <c r="E688" s="141" t="s">
        <v>1829</v>
      </c>
      <c r="F688" s="141" t="s">
        <v>1756</v>
      </c>
      <c r="G688" s="154" t="str">
        <f t="shared" si="151"/>
        <v>/</v>
      </c>
      <c r="H688" s="141" t="str">
        <f t="shared" si="152"/>
        <v>/</v>
      </c>
      <c r="I688" s="139" t="e">
        <f t="shared" si="146"/>
        <v>#NUM!</v>
      </c>
      <c r="J688" s="139" t="e">
        <f t="shared" si="147"/>
        <v>#NUM!</v>
      </c>
      <c r="K688" s="155">
        <f t="shared" si="150"/>
        <v>-1</v>
      </c>
      <c r="N688" s="139">
        <f t="shared" si="148"/>
        <v>0</v>
      </c>
      <c r="O688" s="139">
        <f t="shared" si="149"/>
        <v>1</v>
      </c>
      <c r="P688" s="155"/>
      <c r="Q688" s="186"/>
      <c r="R688" s="186" t="s">
        <v>873</v>
      </c>
      <c r="S688" s="139"/>
      <c r="V688" s="139"/>
    </row>
    <row r="689" spans="4:22">
      <c r="D689" s="139"/>
      <c r="E689" s="141" t="s">
        <v>1829</v>
      </c>
      <c r="F689" s="141" t="s">
        <v>1756</v>
      </c>
      <c r="G689" s="154" t="str">
        <f t="shared" si="151"/>
        <v>/</v>
      </c>
      <c r="H689" s="141" t="str">
        <f t="shared" si="152"/>
        <v>/</v>
      </c>
      <c r="I689" s="139" t="e">
        <f t="shared" si="146"/>
        <v>#NUM!</v>
      </c>
      <c r="J689" s="139" t="e">
        <f t="shared" si="147"/>
        <v>#NUM!</v>
      </c>
      <c r="K689" s="155">
        <f t="shared" si="150"/>
        <v>-1</v>
      </c>
      <c r="N689" s="139">
        <f t="shared" si="148"/>
        <v>0</v>
      </c>
      <c r="O689" s="139">
        <f t="shared" si="149"/>
        <v>1</v>
      </c>
      <c r="P689" s="155"/>
      <c r="Q689" s="186"/>
      <c r="R689" s="186" t="s">
        <v>873</v>
      </c>
      <c r="S689" s="139"/>
      <c r="V689" s="139"/>
    </row>
    <row r="690" spans="4:22">
      <c r="D690" s="139"/>
      <c r="E690" s="141" t="s">
        <v>1829</v>
      </c>
      <c r="F690" s="141" t="s">
        <v>1756</v>
      </c>
      <c r="G690" s="154" t="str">
        <f t="shared" si="151"/>
        <v>/</v>
      </c>
      <c r="H690" s="141" t="str">
        <f t="shared" si="152"/>
        <v>/</v>
      </c>
      <c r="I690" s="139" t="e">
        <f t="shared" si="146"/>
        <v>#NUM!</v>
      </c>
      <c r="J690" s="139" t="e">
        <f t="shared" si="147"/>
        <v>#NUM!</v>
      </c>
      <c r="K690" s="155">
        <f t="shared" si="150"/>
        <v>-1</v>
      </c>
      <c r="N690" s="139">
        <f t="shared" si="148"/>
        <v>0</v>
      </c>
      <c r="O690" s="139">
        <f t="shared" si="149"/>
        <v>1</v>
      </c>
      <c r="P690" s="155"/>
      <c r="Q690" s="186"/>
      <c r="R690" s="186" t="s">
        <v>873</v>
      </c>
      <c r="S690" s="139"/>
      <c r="V690" s="139"/>
    </row>
    <row r="691" spans="4:22">
      <c r="D691" s="139"/>
      <c r="E691" s="141" t="s">
        <v>1829</v>
      </c>
      <c r="F691" s="141" t="s">
        <v>1756</v>
      </c>
      <c r="G691" s="154" t="str">
        <f t="shared" si="151"/>
        <v>/</v>
      </c>
      <c r="H691" s="141" t="str">
        <f t="shared" si="152"/>
        <v>/</v>
      </c>
      <c r="I691" s="139" t="e">
        <f t="shared" ref="I691:I754" si="153">DAY(K691)</f>
        <v>#NUM!</v>
      </c>
      <c r="J691" s="139" t="e">
        <f t="shared" ref="J691:J754" si="154">MONTH(K691)</f>
        <v>#NUM!</v>
      </c>
      <c r="K691" s="155">
        <f t="shared" si="150"/>
        <v>-1</v>
      </c>
      <c r="N691" s="139">
        <f t="shared" ref="N691:N754" si="155">DAY(P691)</f>
        <v>0</v>
      </c>
      <c r="O691" s="139">
        <f t="shared" ref="O691:O754" si="156">MONTH(P691)</f>
        <v>1</v>
      </c>
      <c r="P691" s="155"/>
      <c r="Q691" s="186"/>
      <c r="R691" s="186" t="s">
        <v>873</v>
      </c>
      <c r="S691" s="139"/>
      <c r="V691" s="139"/>
    </row>
    <row r="692" spans="4:22">
      <c r="D692" s="139"/>
      <c r="E692" s="141" t="s">
        <v>1829</v>
      </c>
      <c r="F692" s="141" t="s">
        <v>1756</v>
      </c>
      <c r="G692" s="154" t="str">
        <f t="shared" si="151"/>
        <v>/</v>
      </c>
      <c r="H692" s="141" t="str">
        <f t="shared" si="152"/>
        <v>/</v>
      </c>
      <c r="I692" s="139" t="e">
        <f t="shared" si="153"/>
        <v>#NUM!</v>
      </c>
      <c r="J692" s="139" t="e">
        <f t="shared" si="154"/>
        <v>#NUM!</v>
      </c>
      <c r="K692" s="155">
        <f t="shared" si="150"/>
        <v>-1</v>
      </c>
      <c r="N692" s="139">
        <f t="shared" si="155"/>
        <v>0</v>
      </c>
      <c r="O692" s="139">
        <f t="shared" si="156"/>
        <v>1</v>
      </c>
      <c r="P692" s="155"/>
      <c r="Q692" s="186"/>
      <c r="R692" s="186" t="s">
        <v>873</v>
      </c>
      <c r="S692" s="139"/>
      <c r="V692" s="139"/>
    </row>
    <row r="693" spans="4:22">
      <c r="D693" s="139"/>
      <c r="E693" s="141" t="s">
        <v>1829</v>
      </c>
      <c r="F693" s="141" t="s">
        <v>1756</v>
      </c>
      <c r="G693" s="154" t="str">
        <f t="shared" si="151"/>
        <v>/</v>
      </c>
      <c r="H693" s="141" t="str">
        <f t="shared" si="152"/>
        <v>/</v>
      </c>
      <c r="I693" s="139" t="e">
        <f t="shared" si="153"/>
        <v>#NUM!</v>
      </c>
      <c r="J693" s="139" t="e">
        <f t="shared" si="154"/>
        <v>#NUM!</v>
      </c>
      <c r="K693" s="155">
        <f t="shared" si="150"/>
        <v>-1</v>
      </c>
      <c r="N693" s="139">
        <f t="shared" si="155"/>
        <v>0</v>
      </c>
      <c r="O693" s="139">
        <f t="shared" si="156"/>
        <v>1</v>
      </c>
      <c r="P693" s="155"/>
      <c r="Q693" s="186"/>
      <c r="R693" s="186" t="s">
        <v>873</v>
      </c>
      <c r="S693" s="139"/>
      <c r="V693" s="139"/>
    </row>
    <row r="694" spans="4:22">
      <c r="D694" s="139"/>
      <c r="E694" s="141" t="s">
        <v>1829</v>
      </c>
      <c r="F694" s="141" t="s">
        <v>1756</v>
      </c>
      <c r="G694" s="154" t="str">
        <f t="shared" si="151"/>
        <v>/</v>
      </c>
      <c r="H694" s="141" t="str">
        <f t="shared" si="152"/>
        <v>/</v>
      </c>
      <c r="I694" s="139" t="e">
        <f t="shared" si="153"/>
        <v>#NUM!</v>
      </c>
      <c r="J694" s="139" t="e">
        <f t="shared" si="154"/>
        <v>#NUM!</v>
      </c>
      <c r="K694" s="155">
        <f t="shared" si="150"/>
        <v>-1</v>
      </c>
      <c r="N694" s="139">
        <f t="shared" si="155"/>
        <v>0</v>
      </c>
      <c r="O694" s="139">
        <f t="shared" si="156"/>
        <v>1</v>
      </c>
      <c r="P694" s="155"/>
      <c r="Q694" s="186"/>
      <c r="R694" s="186" t="s">
        <v>873</v>
      </c>
      <c r="S694" s="139"/>
      <c r="V694" s="139"/>
    </row>
    <row r="695" spans="4:22">
      <c r="D695" s="139"/>
      <c r="E695" s="141" t="s">
        <v>1829</v>
      </c>
      <c r="F695" s="141" t="s">
        <v>1756</v>
      </c>
      <c r="G695" s="154" t="str">
        <f t="shared" si="151"/>
        <v>/</v>
      </c>
      <c r="H695" s="141" t="str">
        <f t="shared" si="152"/>
        <v>/</v>
      </c>
      <c r="I695" s="139" t="e">
        <f t="shared" si="153"/>
        <v>#NUM!</v>
      </c>
      <c r="J695" s="139" t="e">
        <f t="shared" si="154"/>
        <v>#NUM!</v>
      </c>
      <c r="K695" s="155">
        <f t="shared" si="150"/>
        <v>-1</v>
      </c>
      <c r="N695" s="139">
        <f t="shared" si="155"/>
        <v>0</v>
      </c>
      <c r="O695" s="139">
        <f t="shared" si="156"/>
        <v>1</v>
      </c>
      <c r="P695" s="155"/>
      <c r="Q695" s="186"/>
      <c r="R695" s="186" t="s">
        <v>873</v>
      </c>
      <c r="S695" s="139"/>
      <c r="V695" s="139"/>
    </row>
    <row r="696" spans="4:22">
      <c r="D696" s="139"/>
      <c r="E696" s="141" t="s">
        <v>1829</v>
      </c>
      <c r="F696" s="141" t="s">
        <v>1756</v>
      </c>
      <c r="G696" s="154" t="str">
        <f t="shared" si="151"/>
        <v>/</v>
      </c>
      <c r="H696" s="141" t="str">
        <f t="shared" si="152"/>
        <v>/</v>
      </c>
      <c r="I696" s="139" t="e">
        <f t="shared" si="153"/>
        <v>#NUM!</v>
      </c>
      <c r="J696" s="139" t="e">
        <f t="shared" si="154"/>
        <v>#NUM!</v>
      </c>
      <c r="K696" s="155">
        <f t="shared" si="150"/>
        <v>-1</v>
      </c>
      <c r="N696" s="139">
        <f t="shared" si="155"/>
        <v>0</v>
      </c>
      <c r="O696" s="139">
        <f t="shared" si="156"/>
        <v>1</v>
      </c>
      <c r="P696" s="155"/>
      <c r="Q696" s="186"/>
      <c r="R696" s="186" t="s">
        <v>873</v>
      </c>
      <c r="S696" s="139"/>
      <c r="V696" s="139"/>
    </row>
    <row r="697" spans="4:22">
      <c r="D697" s="139"/>
      <c r="E697" s="141" t="s">
        <v>1829</v>
      </c>
      <c r="F697" s="141" t="s">
        <v>1756</v>
      </c>
      <c r="G697" s="154" t="str">
        <f t="shared" si="151"/>
        <v>/</v>
      </c>
      <c r="H697" s="141" t="str">
        <f t="shared" si="152"/>
        <v>/</v>
      </c>
      <c r="I697" s="139" t="e">
        <f t="shared" si="153"/>
        <v>#NUM!</v>
      </c>
      <c r="J697" s="139" t="e">
        <f t="shared" si="154"/>
        <v>#NUM!</v>
      </c>
      <c r="K697" s="155">
        <f t="shared" si="150"/>
        <v>-1</v>
      </c>
      <c r="N697" s="139">
        <f t="shared" si="155"/>
        <v>0</v>
      </c>
      <c r="O697" s="139">
        <f t="shared" si="156"/>
        <v>1</v>
      </c>
      <c r="P697" s="155"/>
      <c r="Q697" s="186"/>
      <c r="R697" s="186" t="s">
        <v>873</v>
      </c>
      <c r="S697" s="139"/>
      <c r="V697" s="139"/>
    </row>
    <row r="698" spans="4:22">
      <c r="D698" s="139"/>
      <c r="E698" s="141" t="s">
        <v>1829</v>
      </c>
      <c r="F698" s="141" t="s">
        <v>1756</v>
      </c>
      <c r="G698" s="154" t="str">
        <f t="shared" si="151"/>
        <v>/</v>
      </c>
      <c r="H698" s="141" t="str">
        <f t="shared" si="152"/>
        <v>/</v>
      </c>
      <c r="I698" s="139" t="e">
        <f t="shared" si="153"/>
        <v>#NUM!</v>
      </c>
      <c r="J698" s="139" t="e">
        <f t="shared" si="154"/>
        <v>#NUM!</v>
      </c>
      <c r="K698" s="155">
        <f t="shared" ref="K698:K761" si="157">P698-1</f>
        <v>-1</v>
      </c>
      <c r="N698" s="139">
        <f t="shared" si="155"/>
        <v>0</v>
      </c>
      <c r="O698" s="139">
        <f t="shared" si="156"/>
        <v>1</v>
      </c>
      <c r="P698" s="155"/>
      <c r="Q698" s="186"/>
      <c r="R698" s="186" t="s">
        <v>873</v>
      </c>
      <c r="S698" s="139"/>
      <c r="V698" s="139"/>
    </row>
    <row r="699" spans="4:22">
      <c r="D699" s="139"/>
      <c r="E699" s="141" t="s">
        <v>1829</v>
      </c>
      <c r="F699" s="141" t="s">
        <v>1756</v>
      </c>
      <c r="G699" s="154" t="str">
        <f t="shared" si="151"/>
        <v>/</v>
      </c>
      <c r="H699" s="141" t="str">
        <f t="shared" si="152"/>
        <v>/</v>
      </c>
      <c r="I699" s="139" t="e">
        <f t="shared" si="153"/>
        <v>#NUM!</v>
      </c>
      <c r="J699" s="139" t="e">
        <f t="shared" si="154"/>
        <v>#NUM!</v>
      </c>
      <c r="K699" s="155">
        <f t="shared" si="157"/>
        <v>-1</v>
      </c>
      <c r="N699" s="139">
        <f t="shared" si="155"/>
        <v>0</v>
      </c>
      <c r="O699" s="139">
        <f t="shared" si="156"/>
        <v>1</v>
      </c>
      <c r="P699" s="155"/>
      <c r="Q699" s="186"/>
      <c r="R699" s="186" t="s">
        <v>873</v>
      </c>
      <c r="S699" s="139"/>
      <c r="V699" s="139"/>
    </row>
    <row r="700" spans="4:22">
      <c r="D700" s="139"/>
      <c r="E700" s="141" t="s">
        <v>1829</v>
      </c>
      <c r="F700" s="141" t="s">
        <v>1756</v>
      </c>
      <c r="G700" s="154" t="str">
        <f t="shared" si="151"/>
        <v>/</v>
      </c>
      <c r="H700" s="141" t="str">
        <f t="shared" si="152"/>
        <v>/</v>
      </c>
      <c r="I700" s="139" t="e">
        <f t="shared" si="153"/>
        <v>#NUM!</v>
      </c>
      <c r="J700" s="139" t="e">
        <f t="shared" si="154"/>
        <v>#NUM!</v>
      </c>
      <c r="K700" s="155">
        <f t="shared" si="157"/>
        <v>-1</v>
      </c>
      <c r="N700" s="139">
        <f t="shared" si="155"/>
        <v>0</v>
      </c>
      <c r="O700" s="139">
        <f t="shared" si="156"/>
        <v>1</v>
      </c>
      <c r="P700" s="155"/>
      <c r="Q700" s="186"/>
      <c r="R700" s="186" t="s">
        <v>873</v>
      </c>
      <c r="S700" s="139"/>
      <c r="V700" s="139"/>
    </row>
    <row r="701" spans="4:22">
      <c r="D701" s="139"/>
      <c r="E701" s="141" t="s">
        <v>1829</v>
      </c>
      <c r="F701" s="141" t="s">
        <v>1756</v>
      </c>
      <c r="G701" s="154" t="str">
        <f t="shared" si="151"/>
        <v>/</v>
      </c>
      <c r="H701" s="141" t="str">
        <f t="shared" si="152"/>
        <v>/</v>
      </c>
      <c r="I701" s="139" t="e">
        <f t="shared" si="153"/>
        <v>#NUM!</v>
      </c>
      <c r="J701" s="139" t="e">
        <f t="shared" si="154"/>
        <v>#NUM!</v>
      </c>
      <c r="K701" s="155">
        <f t="shared" si="157"/>
        <v>-1</v>
      </c>
      <c r="N701" s="139">
        <f t="shared" si="155"/>
        <v>0</v>
      </c>
      <c r="O701" s="139">
        <f t="shared" si="156"/>
        <v>1</v>
      </c>
      <c r="P701" s="155"/>
      <c r="Q701" s="186"/>
      <c r="R701" s="186" t="s">
        <v>873</v>
      </c>
      <c r="S701" s="139"/>
      <c r="V701" s="139"/>
    </row>
    <row r="702" spans="4:22">
      <c r="D702" s="139"/>
      <c r="E702" s="141" t="s">
        <v>1829</v>
      </c>
      <c r="F702" s="141" t="s">
        <v>1756</v>
      </c>
      <c r="G702" s="154" t="str">
        <f t="shared" si="151"/>
        <v>/</v>
      </c>
      <c r="H702" s="141" t="str">
        <f t="shared" si="152"/>
        <v>/</v>
      </c>
      <c r="I702" s="139" t="e">
        <f t="shared" si="153"/>
        <v>#NUM!</v>
      </c>
      <c r="J702" s="139" t="e">
        <f t="shared" si="154"/>
        <v>#NUM!</v>
      </c>
      <c r="K702" s="155">
        <f t="shared" si="157"/>
        <v>-1</v>
      </c>
      <c r="N702" s="139">
        <f t="shared" si="155"/>
        <v>0</v>
      </c>
      <c r="O702" s="139">
        <f t="shared" si="156"/>
        <v>1</v>
      </c>
      <c r="P702" s="155"/>
      <c r="Q702" s="186"/>
      <c r="R702" s="186" t="s">
        <v>873</v>
      </c>
      <c r="S702" s="139"/>
      <c r="V702" s="139"/>
    </row>
    <row r="703" spans="4:22">
      <c r="D703" s="139"/>
      <c r="E703" s="141" t="s">
        <v>1829</v>
      </c>
      <c r="F703" s="141" t="s">
        <v>1756</v>
      </c>
      <c r="G703" s="154" t="str">
        <f t="shared" si="151"/>
        <v>/</v>
      </c>
      <c r="H703" s="141" t="str">
        <f t="shared" si="152"/>
        <v>/</v>
      </c>
      <c r="I703" s="139" t="e">
        <f t="shared" si="153"/>
        <v>#NUM!</v>
      </c>
      <c r="J703" s="139" t="e">
        <f t="shared" si="154"/>
        <v>#NUM!</v>
      </c>
      <c r="K703" s="155">
        <f t="shared" si="157"/>
        <v>-1</v>
      </c>
      <c r="N703" s="139">
        <f t="shared" si="155"/>
        <v>0</v>
      </c>
      <c r="O703" s="139">
        <f t="shared" si="156"/>
        <v>1</v>
      </c>
      <c r="P703" s="155"/>
      <c r="Q703" s="186"/>
      <c r="R703" s="186" t="s">
        <v>873</v>
      </c>
      <c r="S703" s="139"/>
      <c r="V703" s="139"/>
    </row>
    <row r="704" spans="4:22">
      <c r="D704" s="139"/>
      <c r="E704" s="141" t="s">
        <v>1829</v>
      </c>
      <c r="F704" s="141" t="s">
        <v>1756</v>
      </c>
      <c r="G704" s="154" t="str">
        <f t="shared" si="151"/>
        <v>/</v>
      </c>
      <c r="H704" s="141" t="str">
        <f t="shared" si="152"/>
        <v>/</v>
      </c>
      <c r="I704" s="139" t="e">
        <f t="shared" si="153"/>
        <v>#NUM!</v>
      </c>
      <c r="J704" s="139" t="e">
        <f t="shared" si="154"/>
        <v>#NUM!</v>
      </c>
      <c r="K704" s="155">
        <f t="shared" si="157"/>
        <v>-1</v>
      </c>
      <c r="N704" s="139">
        <f t="shared" si="155"/>
        <v>0</v>
      </c>
      <c r="O704" s="139">
        <f t="shared" si="156"/>
        <v>1</v>
      </c>
      <c r="P704" s="155"/>
      <c r="Q704" s="186"/>
      <c r="R704" s="186" t="s">
        <v>873</v>
      </c>
      <c r="S704" s="139"/>
      <c r="V704" s="139"/>
    </row>
    <row r="705" spans="4:22">
      <c r="D705" s="139"/>
      <c r="E705" s="141" t="s">
        <v>1829</v>
      </c>
      <c r="F705" s="141" t="s">
        <v>1756</v>
      </c>
      <c r="G705" s="154" t="str">
        <f t="shared" ref="G705:G768" si="158">A705&amp;"/"&amp;B705</f>
        <v>/</v>
      </c>
      <c r="H705" s="141" t="str">
        <f t="shared" ref="H705:H768" si="159">A705&amp;"/"&amp;B705</f>
        <v>/</v>
      </c>
      <c r="I705" s="139" t="e">
        <f t="shared" si="153"/>
        <v>#NUM!</v>
      </c>
      <c r="J705" s="139" t="e">
        <f t="shared" si="154"/>
        <v>#NUM!</v>
      </c>
      <c r="K705" s="155">
        <f t="shared" si="157"/>
        <v>-1</v>
      </c>
      <c r="N705" s="139">
        <f t="shared" si="155"/>
        <v>0</v>
      </c>
      <c r="O705" s="139">
        <f t="shared" si="156"/>
        <v>1</v>
      </c>
      <c r="P705" s="155"/>
      <c r="Q705" s="186"/>
      <c r="R705" s="186" t="s">
        <v>873</v>
      </c>
      <c r="S705" s="139"/>
      <c r="V705" s="139"/>
    </row>
    <row r="706" spans="4:22">
      <c r="D706" s="139"/>
      <c r="E706" s="141" t="s">
        <v>1829</v>
      </c>
      <c r="F706" s="141" t="s">
        <v>1756</v>
      </c>
      <c r="G706" s="154" t="str">
        <f t="shared" si="158"/>
        <v>/</v>
      </c>
      <c r="H706" s="141" t="str">
        <f t="shared" si="159"/>
        <v>/</v>
      </c>
      <c r="I706" s="139" t="e">
        <f t="shared" si="153"/>
        <v>#NUM!</v>
      </c>
      <c r="J706" s="139" t="e">
        <f t="shared" si="154"/>
        <v>#NUM!</v>
      </c>
      <c r="K706" s="155">
        <f t="shared" si="157"/>
        <v>-1</v>
      </c>
      <c r="N706" s="139">
        <f t="shared" si="155"/>
        <v>0</v>
      </c>
      <c r="O706" s="139">
        <f t="shared" si="156"/>
        <v>1</v>
      </c>
      <c r="P706" s="155"/>
      <c r="Q706" s="186"/>
      <c r="R706" s="186" t="s">
        <v>873</v>
      </c>
      <c r="S706" s="139"/>
      <c r="V706" s="139"/>
    </row>
    <row r="707" spans="4:22">
      <c r="D707" s="139"/>
      <c r="E707" s="141" t="s">
        <v>1829</v>
      </c>
      <c r="F707" s="141" t="s">
        <v>1756</v>
      </c>
      <c r="G707" s="154" t="str">
        <f t="shared" si="158"/>
        <v>/</v>
      </c>
      <c r="H707" s="141" t="str">
        <f t="shared" si="159"/>
        <v>/</v>
      </c>
      <c r="I707" s="139" t="e">
        <f t="shared" si="153"/>
        <v>#NUM!</v>
      </c>
      <c r="J707" s="139" t="e">
        <f t="shared" si="154"/>
        <v>#NUM!</v>
      </c>
      <c r="K707" s="155">
        <f t="shared" si="157"/>
        <v>-1</v>
      </c>
      <c r="N707" s="139">
        <f t="shared" si="155"/>
        <v>0</v>
      </c>
      <c r="O707" s="139">
        <f t="shared" si="156"/>
        <v>1</v>
      </c>
      <c r="P707" s="155"/>
      <c r="Q707" s="186"/>
      <c r="R707" s="186" t="s">
        <v>873</v>
      </c>
      <c r="S707" s="139"/>
      <c r="V707" s="139"/>
    </row>
    <row r="708" spans="4:22">
      <c r="D708" s="139"/>
      <c r="E708" s="141" t="s">
        <v>1829</v>
      </c>
      <c r="F708" s="141" t="s">
        <v>1756</v>
      </c>
      <c r="G708" s="154" t="str">
        <f t="shared" si="158"/>
        <v>/</v>
      </c>
      <c r="H708" s="141" t="str">
        <f t="shared" si="159"/>
        <v>/</v>
      </c>
      <c r="I708" s="139" t="e">
        <f t="shared" si="153"/>
        <v>#NUM!</v>
      </c>
      <c r="J708" s="139" t="e">
        <f t="shared" si="154"/>
        <v>#NUM!</v>
      </c>
      <c r="K708" s="155">
        <f t="shared" si="157"/>
        <v>-1</v>
      </c>
      <c r="N708" s="139">
        <f t="shared" si="155"/>
        <v>0</v>
      </c>
      <c r="O708" s="139">
        <f t="shared" si="156"/>
        <v>1</v>
      </c>
      <c r="P708" s="155"/>
      <c r="Q708" s="186"/>
      <c r="R708" s="186" t="s">
        <v>873</v>
      </c>
      <c r="S708" s="139"/>
      <c r="V708" s="139"/>
    </row>
    <row r="709" spans="4:22">
      <c r="D709" s="139"/>
      <c r="E709" s="141" t="s">
        <v>1829</v>
      </c>
      <c r="F709" s="141" t="s">
        <v>1756</v>
      </c>
      <c r="G709" s="154" t="str">
        <f t="shared" si="158"/>
        <v>/</v>
      </c>
      <c r="H709" s="141" t="str">
        <f t="shared" si="159"/>
        <v>/</v>
      </c>
      <c r="I709" s="139" t="e">
        <f t="shared" si="153"/>
        <v>#NUM!</v>
      </c>
      <c r="J709" s="139" t="e">
        <f t="shared" si="154"/>
        <v>#NUM!</v>
      </c>
      <c r="K709" s="155">
        <f t="shared" si="157"/>
        <v>-1</v>
      </c>
      <c r="N709" s="139">
        <f t="shared" si="155"/>
        <v>0</v>
      </c>
      <c r="O709" s="139">
        <f t="shared" si="156"/>
        <v>1</v>
      </c>
      <c r="P709" s="155"/>
      <c r="Q709" s="186"/>
      <c r="R709" s="186" t="s">
        <v>873</v>
      </c>
      <c r="S709" s="139"/>
      <c r="V709" s="139"/>
    </row>
    <row r="710" spans="4:22">
      <c r="D710" s="139"/>
      <c r="E710" s="141" t="s">
        <v>1829</v>
      </c>
      <c r="F710" s="141" t="s">
        <v>1756</v>
      </c>
      <c r="G710" s="154" t="str">
        <f t="shared" si="158"/>
        <v>/</v>
      </c>
      <c r="H710" s="141" t="str">
        <f t="shared" si="159"/>
        <v>/</v>
      </c>
      <c r="I710" s="139" t="e">
        <f t="shared" si="153"/>
        <v>#NUM!</v>
      </c>
      <c r="J710" s="139" t="e">
        <f t="shared" si="154"/>
        <v>#NUM!</v>
      </c>
      <c r="K710" s="155">
        <f t="shared" si="157"/>
        <v>-1</v>
      </c>
      <c r="N710" s="139">
        <f t="shared" si="155"/>
        <v>0</v>
      </c>
      <c r="O710" s="139">
        <f t="shared" si="156"/>
        <v>1</v>
      </c>
      <c r="P710" s="155"/>
      <c r="Q710" s="186"/>
      <c r="R710" s="186" t="s">
        <v>873</v>
      </c>
      <c r="S710" s="139"/>
      <c r="V710" s="139"/>
    </row>
    <row r="711" spans="4:22">
      <c r="D711" s="139"/>
      <c r="E711" s="141" t="s">
        <v>1829</v>
      </c>
      <c r="F711" s="141" t="s">
        <v>1756</v>
      </c>
      <c r="G711" s="154" t="str">
        <f t="shared" si="158"/>
        <v>/</v>
      </c>
      <c r="H711" s="141" t="str">
        <f t="shared" si="159"/>
        <v>/</v>
      </c>
      <c r="I711" s="139" t="e">
        <f t="shared" si="153"/>
        <v>#NUM!</v>
      </c>
      <c r="J711" s="139" t="e">
        <f t="shared" si="154"/>
        <v>#NUM!</v>
      </c>
      <c r="K711" s="155">
        <f t="shared" si="157"/>
        <v>-1</v>
      </c>
      <c r="N711" s="139">
        <f t="shared" si="155"/>
        <v>0</v>
      </c>
      <c r="O711" s="139">
        <f t="shared" si="156"/>
        <v>1</v>
      </c>
      <c r="P711" s="155"/>
      <c r="Q711" s="186"/>
      <c r="R711" s="186" t="s">
        <v>873</v>
      </c>
      <c r="S711" s="139"/>
      <c r="V711" s="139"/>
    </row>
    <row r="712" spans="4:22">
      <c r="D712" s="139"/>
      <c r="E712" s="141" t="s">
        <v>1829</v>
      </c>
      <c r="F712" s="141" t="s">
        <v>1756</v>
      </c>
      <c r="G712" s="154" t="str">
        <f t="shared" si="158"/>
        <v>/</v>
      </c>
      <c r="H712" s="141" t="str">
        <f t="shared" si="159"/>
        <v>/</v>
      </c>
      <c r="I712" s="139" t="e">
        <f t="shared" si="153"/>
        <v>#NUM!</v>
      </c>
      <c r="J712" s="139" t="e">
        <f t="shared" si="154"/>
        <v>#NUM!</v>
      </c>
      <c r="K712" s="155">
        <f t="shared" si="157"/>
        <v>-1</v>
      </c>
      <c r="N712" s="139">
        <f t="shared" si="155"/>
        <v>0</v>
      </c>
      <c r="O712" s="139">
        <f t="shared" si="156"/>
        <v>1</v>
      </c>
      <c r="P712" s="155"/>
      <c r="Q712" s="186"/>
      <c r="R712" s="186" t="s">
        <v>873</v>
      </c>
      <c r="S712" s="139"/>
      <c r="V712" s="139"/>
    </row>
    <row r="713" spans="4:22">
      <c r="D713" s="139"/>
      <c r="E713" s="141" t="s">
        <v>1829</v>
      </c>
      <c r="F713" s="141" t="s">
        <v>1756</v>
      </c>
      <c r="G713" s="154" t="str">
        <f t="shared" si="158"/>
        <v>/</v>
      </c>
      <c r="H713" s="141" t="str">
        <f t="shared" si="159"/>
        <v>/</v>
      </c>
      <c r="I713" s="139" t="e">
        <f t="shared" si="153"/>
        <v>#NUM!</v>
      </c>
      <c r="J713" s="139" t="e">
        <f t="shared" si="154"/>
        <v>#NUM!</v>
      </c>
      <c r="K713" s="155">
        <f t="shared" si="157"/>
        <v>-1</v>
      </c>
      <c r="N713" s="139">
        <f t="shared" si="155"/>
        <v>0</v>
      </c>
      <c r="O713" s="139">
        <f t="shared" si="156"/>
        <v>1</v>
      </c>
      <c r="P713" s="155"/>
      <c r="Q713" s="186"/>
      <c r="R713" s="186" t="s">
        <v>873</v>
      </c>
      <c r="S713" s="139"/>
      <c r="V713" s="139"/>
    </row>
    <row r="714" spans="4:22">
      <c r="D714" s="139"/>
      <c r="E714" s="141" t="s">
        <v>1829</v>
      </c>
      <c r="F714" s="141" t="s">
        <v>1756</v>
      </c>
      <c r="G714" s="154" t="str">
        <f t="shared" si="158"/>
        <v>/</v>
      </c>
      <c r="H714" s="141" t="str">
        <f t="shared" si="159"/>
        <v>/</v>
      </c>
      <c r="I714" s="139" t="e">
        <f t="shared" si="153"/>
        <v>#NUM!</v>
      </c>
      <c r="J714" s="139" t="e">
        <f t="shared" si="154"/>
        <v>#NUM!</v>
      </c>
      <c r="K714" s="155">
        <f t="shared" si="157"/>
        <v>-1</v>
      </c>
      <c r="N714" s="139">
        <f t="shared" si="155"/>
        <v>0</v>
      </c>
      <c r="O714" s="139">
        <f t="shared" si="156"/>
        <v>1</v>
      </c>
      <c r="P714" s="155"/>
      <c r="Q714" s="186"/>
      <c r="R714" s="186" t="s">
        <v>873</v>
      </c>
      <c r="S714" s="139"/>
      <c r="V714" s="139"/>
    </row>
    <row r="715" spans="4:22">
      <c r="D715" s="139"/>
      <c r="E715" s="141" t="s">
        <v>1829</v>
      </c>
      <c r="F715" s="141" t="s">
        <v>1756</v>
      </c>
      <c r="G715" s="154" t="str">
        <f t="shared" si="158"/>
        <v>/</v>
      </c>
      <c r="H715" s="141" t="str">
        <f t="shared" si="159"/>
        <v>/</v>
      </c>
      <c r="I715" s="139" t="e">
        <f t="shared" si="153"/>
        <v>#NUM!</v>
      </c>
      <c r="J715" s="139" t="e">
        <f t="shared" si="154"/>
        <v>#NUM!</v>
      </c>
      <c r="K715" s="155">
        <f t="shared" si="157"/>
        <v>-1</v>
      </c>
      <c r="N715" s="139">
        <f t="shared" si="155"/>
        <v>0</v>
      </c>
      <c r="O715" s="139">
        <f t="shared" si="156"/>
        <v>1</v>
      </c>
      <c r="P715" s="155"/>
      <c r="Q715" s="186"/>
      <c r="R715" s="186" t="s">
        <v>873</v>
      </c>
      <c r="S715" s="139"/>
      <c r="V715" s="139"/>
    </row>
    <row r="716" spans="4:22">
      <c r="D716" s="139"/>
      <c r="E716" s="141" t="s">
        <v>1829</v>
      </c>
      <c r="F716" s="141" t="s">
        <v>1756</v>
      </c>
      <c r="G716" s="154" t="str">
        <f t="shared" si="158"/>
        <v>/</v>
      </c>
      <c r="H716" s="141" t="str">
        <f t="shared" si="159"/>
        <v>/</v>
      </c>
      <c r="I716" s="139" t="e">
        <f t="shared" si="153"/>
        <v>#NUM!</v>
      </c>
      <c r="J716" s="139" t="e">
        <f t="shared" si="154"/>
        <v>#NUM!</v>
      </c>
      <c r="K716" s="155">
        <f t="shared" si="157"/>
        <v>-1</v>
      </c>
      <c r="N716" s="139">
        <f t="shared" si="155"/>
        <v>0</v>
      </c>
      <c r="O716" s="139">
        <f t="shared" si="156"/>
        <v>1</v>
      </c>
      <c r="P716" s="155"/>
      <c r="Q716" s="186"/>
      <c r="R716" s="186" t="s">
        <v>873</v>
      </c>
      <c r="S716" s="139"/>
      <c r="V716" s="139"/>
    </row>
    <row r="717" spans="4:22">
      <c r="D717" s="139"/>
      <c r="E717" s="141" t="s">
        <v>1829</v>
      </c>
      <c r="F717" s="141" t="s">
        <v>1756</v>
      </c>
      <c r="G717" s="154" t="str">
        <f t="shared" si="158"/>
        <v>/</v>
      </c>
      <c r="H717" s="141" t="str">
        <f t="shared" si="159"/>
        <v>/</v>
      </c>
      <c r="I717" s="139" t="e">
        <f t="shared" si="153"/>
        <v>#NUM!</v>
      </c>
      <c r="J717" s="139" t="e">
        <f t="shared" si="154"/>
        <v>#NUM!</v>
      </c>
      <c r="K717" s="155">
        <f t="shared" si="157"/>
        <v>-1</v>
      </c>
      <c r="N717" s="139">
        <f t="shared" si="155"/>
        <v>0</v>
      </c>
      <c r="O717" s="139">
        <f t="shared" si="156"/>
        <v>1</v>
      </c>
      <c r="P717" s="155"/>
      <c r="Q717" s="186"/>
      <c r="R717" s="186" t="s">
        <v>873</v>
      </c>
      <c r="S717" s="139"/>
      <c r="V717" s="139"/>
    </row>
    <row r="718" spans="4:22">
      <c r="D718" s="139"/>
      <c r="E718" s="141" t="s">
        <v>1829</v>
      </c>
      <c r="F718" s="141" t="s">
        <v>1756</v>
      </c>
      <c r="G718" s="154" t="str">
        <f t="shared" si="158"/>
        <v>/</v>
      </c>
      <c r="H718" s="141" t="str">
        <f t="shared" si="159"/>
        <v>/</v>
      </c>
      <c r="I718" s="139" t="e">
        <f t="shared" si="153"/>
        <v>#NUM!</v>
      </c>
      <c r="J718" s="139" t="e">
        <f t="shared" si="154"/>
        <v>#NUM!</v>
      </c>
      <c r="K718" s="155">
        <f t="shared" si="157"/>
        <v>-1</v>
      </c>
      <c r="N718" s="139">
        <f t="shared" si="155"/>
        <v>0</v>
      </c>
      <c r="O718" s="139">
        <f t="shared" si="156"/>
        <v>1</v>
      </c>
      <c r="P718" s="155"/>
      <c r="Q718" s="186"/>
      <c r="R718" s="186" t="s">
        <v>873</v>
      </c>
      <c r="S718" s="139"/>
      <c r="V718" s="139"/>
    </row>
    <row r="719" spans="4:22">
      <c r="D719" s="139"/>
      <c r="E719" s="141" t="s">
        <v>1829</v>
      </c>
      <c r="F719" s="141" t="s">
        <v>1756</v>
      </c>
      <c r="G719" s="154" t="str">
        <f t="shared" si="158"/>
        <v>/</v>
      </c>
      <c r="H719" s="141" t="str">
        <f t="shared" si="159"/>
        <v>/</v>
      </c>
      <c r="I719" s="139" t="e">
        <f t="shared" si="153"/>
        <v>#NUM!</v>
      </c>
      <c r="J719" s="139" t="e">
        <f t="shared" si="154"/>
        <v>#NUM!</v>
      </c>
      <c r="K719" s="155">
        <f t="shared" si="157"/>
        <v>-1</v>
      </c>
      <c r="N719" s="139">
        <f t="shared" si="155"/>
        <v>0</v>
      </c>
      <c r="O719" s="139">
        <f t="shared" si="156"/>
        <v>1</v>
      </c>
      <c r="P719" s="155"/>
      <c r="Q719" s="186"/>
      <c r="R719" s="186" t="s">
        <v>873</v>
      </c>
      <c r="S719" s="139"/>
      <c r="V719" s="139"/>
    </row>
    <row r="720" spans="4:22">
      <c r="D720" s="139"/>
      <c r="E720" s="141" t="s">
        <v>1829</v>
      </c>
      <c r="F720" s="141" t="s">
        <v>1756</v>
      </c>
      <c r="G720" s="154" t="str">
        <f t="shared" si="158"/>
        <v>/</v>
      </c>
      <c r="H720" s="141" t="str">
        <f t="shared" si="159"/>
        <v>/</v>
      </c>
      <c r="I720" s="139" t="e">
        <f t="shared" si="153"/>
        <v>#NUM!</v>
      </c>
      <c r="J720" s="139" t="e">
        <f t="shared" si="154"/>
        <v>#NUM!</v>
      </c>
      <c r="K720" s="155">
        <f t="shared" si="157"/>
        <v>-1</v>
      </c>
      <c r="N720" s="139">
        <f t="shared" si="155"/>
        <v>0</v>
      </c>
      <c r="O720" s="139">
        <f t="shared" si="156"/>
        <v>1</v>
      </c>
      <c r="P720" s="155"/>
      <c r="Q720" s="186"/>
      <c r="R720" s="186" t="s">
        <v>873</v>
      </c>
      <c r="S720" s="139"/>
      <c r="V720" s="139"/>
    </row>
    <row r="721" spans="4:22">
      <c r="D721" s="139"/>
      <c r="E721" s="141" t="s">
        <v>1829</v>
      </c>
      <c r="F721" s="141" t="s">
        <v>1756</v>
      </c>
      <c r="G721" s="154" t="str">
        <f t="shared" si="158"/>
        <v>/</v>
      </c>
      <c r="H721" s="141" t="str">
        <f t="shared" si="159"/>
        <v>/</v>
      </c>
      <c r="I721" s="139" t="e">
        <f t="shared" si="153"/>
        <v>#NUM!</v>
      </c>
      <c r="J721" s="139" t="e">
        <f t="shared" si="154"/>
        <v>#NUM!</v>
      </c>
      <c r="K721" s="155">
        <f t="shared" si="157"/>
        <v>-1</v>
      </c>
      <c r="N721" s="139">
        <f t="shared" si="155"/>
        <v>0</v>
      </c>
      <c r="O721" s="139">
        <f t="shared" si="156"/>
        <v>1</v>
      </c>
      <c r="P721" s="155"/>
      <c r="Q721" s="186"/>
      <c r="R721" s="186" t="s">
        <v>873</v>
      </c>
      <c r="S721" s="139"/>
      <c r="V721" s="139"/>
    </row>
    <row r="722" spans="4:22">
      <c r="D722" s="139"/>
      <c r="E722" s="141" t="s">
        <v>1829</v>
      </c>
      <c r="F722" s="141" t="s">
        <v>1756</v>
      </c>
      <c r="G722" s="154" t="str">
        <f t="shared" si="158"/>
        <v>/</v>
      </c>
      <c r="H722" s="141" t="str">
        <f t="shared" si="159"/>
        <v>/</v>
      </c>
      <c r="I722" s="139" t="e">
        <f t="shared" si="153"/>
        <v>#NUM!</v>
      </c>
      <c r="J722" s="139" t="e">
        <f t="shared" si="154"/>
        <v>#NUM!</v>
      </c>
      <c r="K722" s="155">
        <f t="shared" si="157"/>
        <v>-1</v>
      </c>
      <c r="N722" s="139">
        <f t="shared" si="155"/>
        <v>0</v>
      </c>
      <c r="O722" s="139">
        <f t="shared" si="156"/>
        <v>1</v>
      </c>
      <c r="P722" s="155"/>
      <c r="Q722" s="186"/>
      <c r="R722" s="186" t="s">
        <v>873</v>
      </c>
      <c r="S722" s="139"/>
      <c r="V722" s="139"/>
    </row>
    <row r="723" spans="4:22">
      <c r="D723" s="139"/>
      <c r="E723" s="141" t="s">
        <v>1829</v>
      </c>
      <c r="F723" s="141" t="s">
        <v>1756</v>
      </c>
      <c r="G723" s="154" t="str">
        <f t="shared" si="158"/>
        <v>/</v>
      </c>
      <c r="H723" s="141" t="str">
        <f t="shared" si="159"/>
        <v>/</v>
      </c>
      <c r="I723" s="139" t="e">
        <f t="shared" si="153"/>
        <v>#NUM!</v>
      </c>
      <c r="J723" s="139" t="e">
        <f t="shared" si="154"/>
        <v>#NUM!</v>
      </c>
      <c r="K723" s="155">
        <f t="shared" si="157"/>
        <v>-1</v>
      </c>
      <c r="N723" s="139">
        <f t="shared" si="155"/>
        <v>0</v>
      </c>
      <c r="O723" s="139">
        <f t="shared" si="156"/>
        <v>1</v>
      </c>
      <c r="P723" s="155"/>
      <c r="Q723" s="186"/>
      <c r="R723" s="186" t="s">
        <v>873</v>
      </c>
      <c r="S723" s="139"/>
      <c r="V723" s="139"/>
    </row>
    <row r="724" spans="4:22">
      <c r="D724" s="139"/>
      <c r="E724" s="141" t="s">
        <v>1829</v>
      </c>
      <c r="F724" s="141" t="s">
        <v>1756</v>
      </c>
      <c r="G724" s="154" t="str">
        <f t="shared" si="158"/>
        <v>/</v>
      </c>
      <c r="H724" s="141" t="str">
        <f t="shared" si="159"/>
        <v>/</v>
      </c>
      <c r="I724" s="139" t="e">
        <f t="shared" si="153"/>
        <v>#NUM!</v>
      </c>
      <c r="J724" s="139" t="e">
        <f t="shared" si="154"/>
        <v>#NUM!</v>
      </c>
      <c r="K724" s="155">
        <f t="shared" si="157"/>
        <v>-1</v>
      </c>
      <c r="N724" s="139">
        <f t="shared" si="155"/>
        <v>0</v>
      </c>
      <c r="O724" s="139">
        <f t="shared" si="156"/>
        <v>1</v>
      </c>
      <c r="P724" s="155"/>
      <c r="Q724" s="186"/>
      <c r="R724" s="186" t="s">
        <v>873</v>
      </c>
      <c r="S724" s="139"/>
      <c r="V724" s="139"/>
    </row>
    <row r="725" spans="4:22">
      <c r="D725" s="139"/>
      <c r="E725" s="141" t="s">
        <v>1829</v>
      </c>
      <c r="F725" s="141" t="s">
        <v>1756</v>
      </c>
      <c r="G725" s="154" t="str">
        <f t="shared" si="158"/>
        <v>/</v>
      </c>
      <c r="H725" s="141" t="str">
        <f t="shared" si="159"/>
        <v>/</v>
      </c>
      <c r="I725" s="139" t="e">
        <f t="shared" si="153"/>
        <v>#NUM!</v>
      </c>
      <c r="J725" s="139" t="e">
        <f t="shared" si="154"/>
        <v>#NUM!</v>
      </c>
      <c r="K725" s="155">
        <f t="shared" si="157"/>
        <v>-1</v>
      </c>
      <c r="N725" s="139">
        <f t="shared" si="155"/>
        <v>0</v>
      </c>
      <c r="O725" s="139">
        <f t="shared" si="156"/>
        <v>1</v>
      </c>
      <c r="P725" s="155"/>
      <c r="Q725" s="186"/>
      <c r="R725" s="186" t="s">
        <v>873</v>
      </c>
      <c r="S725" s="139"/>
      <c r="V725" s="139"/>
    </row>
    <row r="726" spans="4:22">
      <c r="D726" s="139"/>
      <c r="E726" s="141" t="s">
        <v>1829</v>
      </c>
      <c r="F726" s="141" t="s">
        <v>1756</v>
      </c>
      <c r="G726" s="154" t="str">
        <f t="shared" si="158"/>
        <v>/</v>
      </c>
      <c r="H726" s="141" t="str">
        <f t="shared" si="159"/>
        <v>/</v>
      </c>
      <c r="I726" s="139" t="e">
        <f t="shared" si="153"/>
        <v>#NUM!</v>
      </c>
      <c r="J726" s="139" t="e">
        <f t="shared" si="154"/>
        <v>#NUM!</v>
      </c>
      <c r="K726" s="155">
        <f t="shared" si="157"/>
        <v>-1</v>
      </c>
      <c r="N726" s="139">
        <f t="shared" si="155"/>
        <v>0</v>
      </c>
      <c r="O726" s="139">
        <f t="shared" si="156"/>
        <v>1</v>
      </c>
      <c r="P726" s="155"/>
      <c r="Q726" s="186"/>
      <c r="R726" s="186" t="s">
        <v>873</v>
      </c>
      <c r="S726" s="139"/>
      <c r="V726" s="139"/>
    </row>
    <row r="727" spans="4:22">
      <c r="D727" s="139"/>
      <c r="E727" s="141" t="s">
        <v>1829</v>
      </c>
      <c r="F727" s="141" t="s">
        <v>1756</v>
      </c>
      <c r="G727" s="154" t="str">
        <f t="shared" si="158"/>
        <v>/</v>
      </c>
      <c r="H727" s="141" t="str">
        <f t="shared" si="159"/>
        <v>/</v>
      </c>
      <c r="I727" s="139" t="e">
        <f t="shared" si="153"/>
        <v>#NUM!</v>
      </c>
      <c r="J727" s="139" t="e">
        <f t="shared" si="154"/>
        <v>#NUM!</v>
      </c>
      <c r="K727" s="155">
        <f t="shared" si="157"/>
        <v>-1</v>
      </c>
      <c r="N727" s="139">
        <f t="shared" si="155"/>
        <v>0</v>
      </c>
      <c r="O727" s="139">
        <f t="shared" si="156"/>
        <v>1</v>
      </c>
      <c r="P727" s="155"/>
      <c r="Q727" s="186"/>
      <c r="R727" s="186" t="s">
        <v>873</v>
      </c>
      <c r="S727" s="139"/>
      <c r="V727" s="139"/>
    </row>
    <row r="728" spans="4:22">
      <c r="D728" s="139"/>
      <c r="E728" s="141" t="s">
        <v>1829</v>
      </c>
      <c r="F728" s="141" t="s">
        <v>1756</v>
      </c>
      <c r="G728" s="154" t="str">
        <f t="shared" si="158"/>
        <v>/</v>
      </c>
      <c r="H728" s="141" t="str">
        <f t="shared" si="159"/>
        <v>/</v>
      </c>
      <c r="I728" s="139" t="e">
        <f t="shared" si="153"/>
        <v>#NUM!</v>
      </c>
      <c r="J728" s="139" t="e">
        <f t="shared" si="154"/>
        <v>#NUM!</v>
      </c>
      <c r="K728" s="155">
        <f t="shared" si="157"/>
        <v>-1</v>
      </c>
      <c r="N728" s="139">
        <f t="shared" si="155"/>
        <v>0</v>
      </c>
      <c r="O728" s="139">
        <f t="shared" si="156"/>
        <v>1</v>
      </c>
      <c r="P728" s="155"/>
      <c r="Q728" s="186"/>
      <c r="R728" s="186" t="s">
        <v>873</v>
      </c>
      <c r="S728" s="139"/>
      <c r="V728" s="139"/>
    </row>
    <row r="729" spans="4:22">
      <c r="D729" s="139"/>
      <c r="E729" s="141" t="s">
        <v>1829</v>
      </c>
      <c r="F729" s="141" t="s">
        <v>1756</v>
      </c>
      <c r="G729" s="154" t="str">
        <f t="shared" si="158"/>
        <v>/</v>
      </c>
      <c r="H729" s="141" t="str">
        <f t="shared" si="159"/>
        <v>/</v>
      </c>
      <c r="I729" s="139" t="e">
        <f t="shared" si="153"/>
        <v>#NUM!</v>
      </c>
      <c r="J729" s="139" t="e">
        <f t="shared" si="154"/>
        <v>#NUM!</v>
      </c>
      <c r="K729" s="155">
        <f t="shared" si="157"/>
        <v>-1</v>
      </c>
      <c r="N729" s="139">
        <f t="shared" si="155"/>
        <v>0</v>
      </c>
      <c r="O729" s="139">
        <f t="shared" si="156"/>
        <v>1</v>
      </c>
      <c r="P729" s="155"/>
      <c r="Q729" s="186"/>
      <c r="R729" s="186" t="s">
        <v>873</v>
      </c>
      <c r="S729" s="139"/>
      <c r="V729" s="139"/>
    </row>
    <row r="730" spans="4:22">
      <c r="D730" s="139"/>
      <c r="E730" s="141" t="s">
        <v>1829</v>
      </c>
      <c r="F730" s="141" t="s">
        <v>1756</v>
      </c>
      <c r="G730" s="154" t="str">
        <f t="shared" si="158"/>
        <v>/</v>
      </c>
      <c r="H730" s="141" t="str">
        <f t="shared" si="159"/>
        <v>/</v>
      </c>
      <c r="I730" s="139" t="e">
        <f t="shared" si="153"/>
        <v>#NUM!</v>
      </c>
      <c r="J730" s="139" t="e">
        <f t="shared" si="154"/>
        <v>#NUM!</v>
      </c>
      <c r="K730" s="155">
        <f t="shared" si="157"/>
        <v>-1</v>
      </c>
      <c r="N730" s="139">
        <f t="shared" si="155"/>
        <v>0</v>
      </c>
      <c r="O730" s="139">
        <f t="shared" si="156"/>
        <v>1</v>
      </c>
      <c r="P730" s="155"/>
      <c r="Q730" s="186"/>
      <c r="R730" s="186" t="s">
        <v>873</v>
      </c>
      <c r="S730" s="139"/>
      <c r="V730" s="139"/>
    </row>
    <row r="731" spans="4:22">
      <c r="D731" s="139"/>
      <c r="E731" s="141" t="s">
        <v>1829</v>
      </c>
      <c r="F731" s="141" t="s">
        <v>1756</v>
      </c>
      <c r="G731" s="154" t="str">
        <f t="shared" si="158"/>
        <v>/</v>
      </c>
      <c r="H731" s="141" t="str">
        <f t="shared" si="159"/>
        <v>/</v>
      </c>
      <c r="I731" s="139" t="e">
        <f t="shared" si="153"/>
        <v>#NUM!</v>
      </c>
      <c r="J731" s="139" t="e">
        <f t="shared" si="154"/>
        <v>#NUM!</v>
      </c>
      <c r="K731" s="155">
        <f t="shared" si="157"/>
        <v>-1</v>
      </c>
      <c r="N731" s="139">
        <f t="shared" si="155"/>
        <v>0</v>
      </c>
      <c r="O731" s="139">
        <f t="shared" si="156"/>
        <v>1</v>
      </c>
      <c r="P731" s="155"/>
      <c r="Q731" s="186"/>
      <c r="R731" s="186" t="s">
        <v>873</v>
      </c>
      <c r="S731" s="139"/>
      <c r="V731" s="139"/>
    </row>
    <row r="732" spans="4:22">
      <c r="D732" s="139"/>
      <c r="E732" s="141" t="s">
        <v>1829</v>
      </c>
      <c r="F732" s="141" t="s">
        <v>1756</v>
      </c>
      <c r="G732" s="154" t="str">
        <f t="shared" si="158"/>
        <v>/</v>
      </c>
      <c r="H732" s="141" t="str">
        <f t="shared" si="159"/>
        <v>/</v>
      </c>
      <c r="I732" s="139" t="e">
        <f t="shared" si="153"/>
        <v>#NUM!</v>
      </c>
      <c r="J732" s="139" t="e">
        <f t="shared" si="154"/>
        <v>#NUM!</v>
      </c>
      <c r="K732" s="155">
        <f t="shared" si="157"/>
        <v>-1</v>
      </c>
      <c r="N732" s="139">
        <f t="shared" si="155"/>
        <v>0</v>
      </c>
      <c r="O732" s="139">
        <f t="shared" si="156"/>
        <v>1</v>
      </c>
      <c r="P732" s="155"/>
      <c r="Q732" s="186"/>
      <c r="R732" s="186" t="s">
        <v>873</v>
      </c>
      <c r="S732" s="139"/>
      <c r="V732" s="139"/>
    </row>
    <row r="733" spans="4:22">
      <c r="D733" s="139"/>
      <c r="E733" s="141" t="s">
        <v>1829</v>
      </c>
      <c r="F733" s="141" t="s">
        <v>1756</v>
      </c>
      <c r="G733" s="154" t="str">
        <f t="shared" si="158"/>
        <v>/</v>
      </c>
      <c r="H733" s="141" t="str">
        <f t="shared" si="159"/>
        <v>/</v>
      </c>
      <c r="I733" s="139" t="e">
        <f t="shared" si="153"/>
        <v>#NUM!</v>
      </c>
      <c r="J733" s="139" t="e">
        <f t="shared" si="154"/>
        <v>#NUM!</v>
      </c>
      <c r="K733" s="155">
        <f t="shared" si="157"/>
        <v>-1</v>
      </c>
      <c r="N733" s="139">
        <f t="shared" si="155"/>
        <v>0</v>
      </c>
      <c r="O733" s="139">
        <f t="shared" si="156"/>
        <v>1</v>
      </c>
      <c r="P733" s="155"/>
      <c r="Q733" s="186"/>
      <c r="R733" s="186" t="s">
        <v>873</v>
      </c>
      <c r="S733" s="139"/>
      <c r="V733" s="139"/>
    </row>
    <row r="734" spans="4:22">
      <c r="D734" s="139"/>
      <c r="E734" s="141" t="s">
        <v>1829</v>
      </c>
      <c r="F734" s="141" t="s">
        <v>1756</v>
      </c>
      <c r="G734" s="154" t="str">
        <f t="shared" si="158"/>
        <v>/</v>
      </c>
      <c r="H734" s="141" t="str">
        <f t="shared" si="159"/>
        <v>/</v>
      </c>
      <c r="I734" s="139" t="e">
        <f t="shared" si="153"/>
        <v>#NUM!</v>
      </c>
      <c r="J734" s="139" t="e">
        <f t="shared" si="154"/>
        <v>#NUM!</v>
      </c>
      <c r="K734" s="155">
        <f t="shared" si="157"/>
        <v>-1</v>
      </c>
      <c r="N734" s="139">
        <f t="shared" si="155"/>
        <v>0</v>
      </c>
      <c r="O734" s="139">
        <f t="shared" si="156"/>
        <v>1</v>
      </c>
      <c r="P734" s="155"/>
      <c r="Q734" s="186"/>
      <c r="R734" s="186" t="s">
        <v>873</v>
      </c>
      <c r="S734" s="139"/>
      <c r="V734" s="139"/>
    </row>
    <row r="735" spans="4:22">
      <c r="D735" s="139"/>
      <c r="E735" s="141" t="s">
        <v>1829</v>
      </c>
      <c r="F735" s="141" t="s">
        <v>1756</v>
      </c>
      <c r="G735" s="154" t="str">
        <f t="shared" si="158"/>
        <v>/</v>
      </c>
      <c r="H735" s="141" t="str">
        <f t="shared" si="159"/>
        <v>/</v>
      </c>
      <c r="I735" s="139" t="e">
        <f t="shared" si="153"/>
        <v>#NUM!</v>
      </c>
      <c r="J735" s="139" t="e">
        <f t="shared" si="154"/>
        <v>#NUM!</v>
      </c>
      <c r="K735" s="155">
        <f t="shared" si="157"/>
        <v>-1</v>
      </c>
      <c r="N735" s="139">
        <f t="shared" si="155"/>
        <v>0</v>
      </c>
      <c r="O735" s="139">
        <f t="shared" si="156"/>
        <v>1</v>
      </c>
      <c r="P735" s="155"/>
      <c r="Q735" s="186"/>
      <c r="R735" s="186" t="s">
        <v>873</v>
      </c>
      <c r="S735" s="139"/>
      <c r="V735" s="139"/>
    </row>
    <row r="736" spans="4:22">
      <c r="D736" s="139"/>
      <c r="E736" s="141" t="s">
        <v>1829</v>
      </c>
      <c r="F736" s="141" t="s">
        <v>1756</v>
      </c>
      <c r="G736" s="154" t="str">
        <f t="shared" si="158"/>
        <v>/</v>
      </c>
      <c r="H736" s="141" t="str">
        <f t="shared" si="159"/>
        <v>/</v>
      </c>
      <c r="I736" s="139" t="e">
        <f t="shared" si="153"/>
        <v>#NUM!</v>
      </c>
      <c r="J736" s="139" t="e">
        <f t="shared" si="154"/>
        <v>#NUM!</v>
      </c>
      <c r="K736" s="155">
        <f t="shared" si="157"/>
        <v>-1</v>
      </c>
      <c r="N736" s="139">
        <f t="shared" si="155"/>
        <v>0</v>
      </c>
      <c r="O736" s="139">
        <f t="shared" si="156"/>
        <v>1</v>
      </c>
      <c r="P736" s="155"/>
      <c r="Q736" s="186"/>
      <c r="R736" s="186" t="s">
        <v>873</v>
      </c>
      <c r="S736" s="139"/>
      <c r="V736" s="139"/>
    </row>
    <row r="737" spans="4:22">
      <c r="D737" s="139"/>
      <c r="E737" s="141" t="s">
        <v>1829</v>
      </c>
      <c r="F737" s="141" t="s">
        <v>1756</v>
      </c>
      <c r="G737" s="154" t="str">
        <f t="shared" si="158"/>
        <v>/</v>
      </c>
      <c r="H737" s="141" t="str">
        <f t="shared" si="159"/>
        <v>/</v>
      </c>
      <c r="I737" s="139" t="e">
        <f t="shared" si="153"/>
        <v>#NUM!</v>
      </c>
      <c r="J737" s="139" t="e">
        <f t="shared" si="154"/>
        <v>#NUM!</v>
      </c>
      <c r="K737" s="155">
        <f t="shared" si="157"/>
        <v>-1</v>
      </c>
      <c r="N737" s="139">
        <f t="shared" si="155"/>
        <v>0</v>
      </c>
      <c r="O737" s="139">
        <f t="shared" si="156"/>
        <v>1</v>
      </c>
      <c r="P737" s="155"/>
      <c r="Q737" s="186"/>
      <c r="R737" s="186" t="s">
        <v>873</v>
      </c>
      <c r="S737" s="139"/>
      <c r="V737" s="139"/>
    </row>
    <row r="738" spans="4:22">
      <c r="D738" s="139"/>
      <c r="E738" s="141" t="s">
        <v>1829</v>
      </c>
      <c r="F738" s="141" t="s">
        <v>1756</v>
      </c>
      <c r="G738" s="154" t="str">
        <f t="shared" si="158"/>
        <v>/</v>
      </c>
      <c r="H738" s="141" t="str">
        <f t="shared" si="159"/>
        <v>/</v>
      </c>
      <c r="I738" s="139" t="e">
        <f t="shared" si="153"/>
        <v>#NUM!</v>
      </c>
      <c r="J738" s="139" t="e">
        <f t="shared" si="154"/>
        <v>#NUM!</v>
      </c>
      <c r="K738" s="155">
        <f t="shared" si="157"/>
        <v>-1</v>
      </c>
      <c r="N738" s="139">
        <f t="shared" si="155"/>
        <v>0</v>
      </c>
      <c r="O738" s="139">
        <f t="shared" si="156"/>
        <v>1</v>
      </c>
      <c r="P738" s="155"/>
      <c r="Q738" s="186"/>
      <c r="R738" s="186" t="s">
        <v>873</v>
      </c>
      <c r="S738" s="139"/>
      <c r="V738" s="139"/>
    </row>
    <row r="739" spans="4:22">
      <c r="D739" s="139"/>
      <c r="E739" s="141" t="s">
        <v>1829</v>
      </c>
      <c r="F739" s="141" t="s">
        <v>1756</v>
      </c>
      <c r="G739" s="154" t="str">
        <f t="shared" si="158"/>
        <v>/</v>
      </c>
      <c r="H739" s="141" t="str">
        <f t="shared" si="159"/>
        <v>/</v>
      </c>
      <c r="I739" s="139" t="e">
        <f t="shared" si="153"/>
        <v>#NUM!</v>
      </c>
      <c r="J739" s="139" t="e">
        <f t="shared" si="154"/>
        <v>#NUM!</v>
      </c>
      <c r="K739" s="155">
        <f t="shared" si="157"/>
        <v>-1</v>
      </c>
      <c r="N739" s="139">
        <f t="shared" si="155"/>
        <v>0</v>
      </c>
      <c r="O739" s="139">
        <f t="shared" si="156"/>
        <v>1</v>
      </c>
      <c r="P739" s="155"/>
      <c r="Q739" s="186"/>
      <c r="R739" s="186" t="s">
        <v>873</v>
      </c>
      <c r="S739" s="139"/>
      <c r="V739" s="139"/>
    </row>
    <row r="740" spans="4:22">
      <c r="D740" s="139"/>
      <c r="E740" s="141" t="s">
        <v>1829</v>
      </c>
      <c r="F740" s="141" t="s">
        <v>1756</v>
      </c>
      <c r="G740" s="154" t="str">
        <f t="shared" si="158"/>
        <v>/</v>
      </c>
      <c r="H740" s="141" t="str">
        <f t="shared" si="159"/>
        <v>/</v>
      </c>
      <c r="I740" s="139" t="e">
        <f t="shared" si="153"/>
        <v>#NUM!</v>
      </c>
      <c r="J740" s="139" t="e">
        <f t="shared" si="154"/>
        <v>#NUM!</v>
      </c>
      <c r="K740" s="155">
        <f t="shared" si="157"/>
        <v>-1</v>
      </c>
      <c r="N740" s="139">
        <f t="shared" si="155"/>
        <v>0</v>
      </c>
      <c r="O740" s="139">
        <f t="shared" si="156"/>
        <v>1</v>
      </c>
      <c r="P740" s="155"/>
      <c r="Q740" s="186"/>
      <c r="R740" s="186" t="s">
        <v>873</v>
      </c>
      <c r="S740" s="139"/>
      <c r="V740" s="139"/>
    </row>
    <row r="741" spans="4:22">
      <c r="D741" s="139"/>
      <c r="E741" s="141" t="s">
        <v>1829</v>
      </c>
      <c r="F741" s="141" t="s">
        <v>1756</v>
      </c>
      <c r="G741" s="154" t="str">
        <f t="shared" si="158"/>
        <v>/</v>
      </c>
      <c r="H741" s="141" t="str">
        <f t="shared" si="159"/>
        <v>/</v>
      </c>
      <c r="I741" s="139" t="e">
        <f t="shared" si="153"/>
        <v>#NUM!</v>
      </c>
      <c r="J741" s="139" t="e">
        <f t="shared" si="154"/>
        <v>#NUM!</v>
      </c>
      <c r="K741" s="155">
        <f t="shared" si="157"/>
        <v>-1</v>
      </c>
      <c r="N741" s="139">
        <f t="shared" si="155"/>
        <v>0</v>
      </c>
      <c r="O741" s="139">
        <f t="shared" si="156"/>
        <v>1</v>
      </c>
      <c r="P741" s="155"/>
      <c r="Q741" s="186"/>
      <c r="R741" s="186" t="s">
        <v>873</v>
      </c>
      <c r="S741" s="139"/>
      <c r="V741" s="139"/>
    </row>
    <row r="742" spans="4:22">
      <c r="D742" s="139"/>
      <c r="E742" s="141" t="s">
        <v>1829</v>
      </c>
      <c r="F742" s="141" t="s">
        <v>1756</v>
      </c>
      <c r="G742" s="154" t="str">
        <f t="shared" si="158"/>
        <v>/</v>
      </c>
      <c r="H742" s="141" t="str">
        <f t="shared" si="159"/>
        <v>/</v>
      </c>
      <c r="I742" s="139" t="e">
        <f t="shared" si="153"/>
        <v>#NUM!</v>
      </c>
      <c r="J742" s="139" t="e">
        <f t="shared" si="154"/>
        <v>#NUM!</v>
      </c>
      <c r="K742" s="155">
        <f t="shared" si="157"/>
        <v>-1</v>
      </c>
      <c r="N742" s="139">
        <f t="shared" si="155"/>
        <v>0</v>
      </c>
      <c r="O742" s="139">
        <f t="shared" si="156"/>
        <v>1</v>
      </c>
      <c r="P742" s="155"/>
      <c r="Q742" s="186"/>
      <c r="R742" s="186" t="s">
        <v>873</v>
      </c>
      <c r="S742" s="139"/>
      <c r="V742" s="139"/>
    </row>
    <row r="743" spans="4:22">
      <c r="D743" s="139"/>
      <c r="E743" s="141" t="s">
        <v>1829</v>
      </c>
      <c r="F743" s="141" t="s">
        <v>1756</v>
      </c>
      <c r="G743" s="154" t="str">
        <f t="shared" si="158"/>
        <v>/</v>
      </c>
      <c r="H743" s="141" t="str">
        <f t="shared" si="159"/>
        <v>/</v>
      </c>
      <c r="I743" s="139" t="e">
        <f t="shared" si="153"/>
        <v>#NUM!</v>
      </c>
      <c r="J743" s="139" t="e">
        <f t="shared" si="154"/>
        <v>#NUM!</v>
      </c>
      <c r="K743" s="155">
        <f t="shared" si="157"/>
        <v>-1</v>
      </c>
      <c r="N743" s="139">
        <f t="shared" si="155"/>
        <v>0</v>
      </c>
      <c r="O743" s="139">
        <f t="shared" si="156"/>
        <v>1</v>
      </c>
      <c r="P743" s="155"/>
      <c r="Q743" s="186"/>
      <c r="R743" s="186" t="s">
        <v>873</v>
      </c>
      <c r="S743" s="139"/>
      <c r="V743" s="139"/>
    </row>
    <row r="744" spans="4:22">
      <c r="D744" s="139"/>
      <c r="E744" s="141" t="s">
        <v>1829</v>
      </c>
      <c r="F744" s="141" t="s">
        <v>1756</v>
      </c>
      <c r="G744" s="154" t="str">
        <f t="shared" si="158"/>
        <v>/</v>
      </c>
      <c r="H744" s="141" t="str">
        <f t="shared" si="159"/>
        <v>/</v>
      </c>
      <c r="I744" s="139" t="e">
        <f t="shared" si="153"/>
        <v>#NUM!</v>
      </c>
      <c r="J744" s="139" t="e">
        <f t="shared" si="154"/>
        <v>#NUM!</v>
      </c>
      <c r="K744" s="155">
        <f t="shared" si="157"/>
        <v>-1</v>
      </c>
      <c r="N744" s="139">
        <f t="shared" si="155"/>
        <v>0</v>
      </c>
      <c r="O744" s="139">
        <f t="shared" si="156"/>
        <v>1</v>
      </c>
      <c r="P744" s="155"/>
      <c r="Q744" s="186"/>
      <c r="R744" s="186" t="s">
        <v>873</v>
      </c>
      <c r="S744" s="139"/>
      <c r="V744" s="139"/>
    </row>
    <row r="745" spans="4:22">
      <c r="D745" s="139"/>
      <c r="E745" s="141" t="s">
        <v>1829</v>
      </c>
      <c r="F745" s="141" t="s">
        <v>1756</v>
      </c>
      <c r="G745" s="154" t="str">
        <f t="shared" si="158"/>
        <v>/</v>
      </c>
      <c r="H745" s="141" t="str">
        <f t="shared" si="159"/>
        <v>/</v>
      </c>
      <c r="I745" s="139" t="e">
        <f t="shared" si="153"/>
        <v>#NUM!</v>
      </c>
      <c r="J745" s="139" t="e">
        <f t="shared" si="154"/>
        <v>#NUM!</v>
      </c>
      <c r="K745" s="155">
        <f t="shared" si="157"/>
        <v>-1</v>
      </c>
      <c r="N745" s="139">
        <f t="shared" si="155"/>
        <v>0</v>
      </c>
      <c r="O745" s="139">
        <f t="shared" si="156"/>
        <v>1</v>
      </c>
      <c r="P745" s="155"/>
      <c r="Q745" s="186"/>
      <c r="R745" s="186" t="s">
        <v>873</v>
      </c>
      <c r="S745" s="139"/>
      <c r="V745" s="139"/>
    </row>
    <row r="746" spans="4:22">
      <c r="D746" s="139"/>
      <c r="E746" s="141" t="s">
        <v>1829</v>
      </c>
      <c r="F746" s="141" t="s">
        <v>1756</v>
      </c>
      <c r="G746" s="154" t="str">
        <f t="shared" si="158"/>
        <v>/</v>
      </c>
      <c r="H746" s="141" t="str">
        <f t="shared" si="159"/>
        <v>/</v>
      </c>
      <c r="I746" s="139" t="e">
        <f t="shared" si="153"/>
        <v>#NUM!</v>
      </c>
      <c r="J746" s="139" t="e">
        <f t="shared" si="154"/>
        <v>#NUM!</v>
      </c>
      <c r="K746" s="155">
        <f t="shared" si="157"/>
        <v>-1</v>
      </c>
      <c r="N746" s="139">
        <f t="shared" si="155"/>
        <v>0</v>
      </c>
      <c r="O746" s="139">
        <f t="shared" si="156"/>
        <v>1</v>
      </c>
      <c r="P746" s="155"/>
      <c r="Q746" s="186"/>
      <c r="R746" s="186" t="s">
        <v>873</v>
      </c>
      <c r="S746" s="139"/>
      <c r="V746" s="139"/>
    </row>
    <row r="747" spans="4:22">
      <c r="D747" s="139"/>
      <c r="E747" s="141" t="s">
        <v>1829</v>
      </c>
      <c r="F747" s="141" t="s">
        <v>1756</v>
      </c>
      <c r="G747" s="154" t="str">
        <f t="shared" si="158"/>
        <v>/</v>
      </c>
      <c r="H747" s="141" t="str">
        <f t="shared" si="159"/>
        <v>/</v>
      </c>
      <c r="I747" s="139" t="e">
        <f t="shared" si="153"/>
        <v>#NUM!</v>
      </c>
      <c r="J747" s="139" t="e">
        <f t="shared" si="154"/>
        <v>#NUM!</v>
      </c>
      <c r="K747" s="155">
        <f t="shared" si="157"/>
        <v>-1</v>
      </c>
      <c r="N747" s="139">
        <f t="shared" si="155"/>
        <v>0</v>
      </c>
      <c r="O747" s="139">
        <f t="shared" si="156"/>
        <v>1</v>
      </c>
      <c r="P747" s="155"/>
      <c r="Q747" s="186"/>
      <c r="R747" s="186" t="s">
        <v>873</v>
      </c>
      <c r="S747" s="139"/>
      <c r="V747" s="139"/>
    </row>
    <row r="748" spans="4:22">
      <c r="D748" s="139"/>
      <c r="E748" s="141" t="s">
        <v>1829</v>
      </c>
      <c r="F748" s="141" t="s">
        <v>1756</v>
      </c>
      <c r="G748" s="154" t="str">
        <f t="shared" si="158"/>
        <v>/</v>
      </c>
      <c r="H748" s="141" t="str">
        <f t="shared" si="159"/>
        <v>/</v>
      </c>
      <c r="I748" s="139" t="e">
        <f t="shared" si="153"/>
        <v>#NUM!</v>
      </c>
      <c r="J748" s="139" t="e">
        <f t="shared" si="154"/>
        <v>#NUM!</v>
      </c>
      <c r="K748" s="155">
        <f t="shared" si="157"/>
        <v>-1</v>
      </c>
      <c r="N748" s="139">
        <f t="shared" si="155"/>
        <v>0</v>
      </c>
      <c r="O748" s="139">
        <f t="shared" si="156"/>
        <v>1</v>
      </c>
      <c r="P748" s="155"/>
      <c r="Q748" s="186"/>
      <c r="R748" s="186" t="s">
        <v>873</v>
      </c>
      <c r="S748" s="139"/>
      <c r="V748" s="139"/>
    </row>
    <row r="749" spans="4:22">
      <c r="D749" s="139"/>
      <c r="E749" s="141" t="s">
        <v>1829</v>
      </c>
      <c r="F749" s="141" t="s">
        <v>1756</v>
      </c>
      <c r="G749" s="154" t="str">
        <f t="shared" si="158"/>
        <v>/</v>
      </c>
      <c r="H749" s="141" t="str">
        <f t="shared" si="159"/>
        <v>/</v>
      </c>
      <c r="I749" s="139" t="e">
        <f t="shared" si="153"/>
        <v>#NUM!</v>
      </c>
      <c r="J749" s="139" t="e">
        <f t="shared" si="154"/>
        <v>#NUM!</v>
      </c>
      <c r="K749" s="155">
        <f t="shared" si="157"/>
        <v>-1</v>
      </c>
      <c r="N749" s="139">
        <f t="shared" si="155"/>
        <v>0</v>
      </c>
      <c r="O749" s="139">
        <f t="shared" si="156"/>
        <v>1</v>
      </c>
      <c r="P749" s="155"/>
      <c r="Q749" s="186"/>
      <c r="R749" s="186" t="s">
        <v>873</v>
      </c>
      <c r="S749" s="139"/>
      <c r="V749" s="139"/>
    </row>
    <row r="750" spans="4:22">
      <c r="D750" s="139"/>
      <c r="E750" s="141" t="s">
        <v>1829</v>
      </c>
      <c r="F750" s="141" t="s">
        <v>1756</v>
      </c>
      <c r="G750" s="154" t="str">
        <f t="shared" si="158"/>
        <v>/</v>
      </c>
      <c r="H750" s="141" t="str">
        <f t="shared" si="159"/>
        <v>/</v>
      </c>
      <c r="I750" s="139" t="e">
        <f t="shared" si="153"/>
        <v>#NUM!</v>
      </c>
      <c r="J750" s="139" t="e">
        <f t="shared" si="154"/>
        <v>#NUM!</v>
      </c>
      <c r="K750" s="155">
        <f t="shared" si="157"/>
        <v>-1</v>
      </c>
      <c r="N750" s="139">
        <f t="shared" si="155"/>
        <v>0</v>
      </c>
      <c r="O750" s="139">
        <f t="shared" si="156"/>
        <v>1</v>
      </c>
      <c r="P750" s="155"/>
      <c r="Q750" s="186"/>
      <c r="R750" s="186" t="s">
        <v>873</v>
      </c>
      <c r="S750" s="139"/>
      <c r="V750" s="139"/>
    </row>
    <row r="751" spans="4:22">
      <c r="D751" s="139"/>
      <c r="E751" s="141" t="s">
        <v>1829</v>
      </c>
      <c r="F751" s="141" t="s">
        <v>1756</v>
      </c>
      <c r="G751" s="154" t="str">
        <f t="shared" si="158"/>
        <v>/</v>
      </c>
      <c r="H751" s="141" t="str">
        <f t="shared" si="159"/>
        <v>/</v>
      </c>
      <c r="I751" s="139" t="e">
        <f t="shared" si="153"/>
        <v>#NUM!</v>
      </c>
      <c r="J751" s="139" t="e">
        <f t="shared" si="154"/>
        <v>#NUM!</v>
      </c>
      <c r="K751" s="155">
        <f t="shared" si="157"/>
        <v>-1</v>
      </c>
      <c r="N751" s="139">
        <f t="shared" si="155"/>
        <v>0</v>
      </c>
      <c r="O751" s="139">
        <f t="shared" si="156"/>
        <v>1</v>
      </c>
      <c r="P751" s="155"/>
      <c r="Q751" s="186"/>
      <c r="R751" s="186" t="s">
        <v>873</v>
      </c>
      <c r="S751" s="139"/>
      <c r="V751" s="139"/>
    </row>
    <row r="752" spans="4:22">
      <c r="D752" s="139"/>
      <c r="E752" s="141" t="s">
        <v>1829</v>
      </c>
      <c r="F752" s="141" t="s">
        <v>1756</v>
      </c>
      <c r="G752" s="154" t="str">
        <f t="shared" si="158"/>
        <v>/</v>
      </c>
      <c r="H752" s="141" t="str">
        <f t="shared" si="159"/>
        <v>/</v>
      </c>
      <c r="I752" s="139" t="e">
        <f t="shared" si="153"/>
        <v>#NUM!</v>
      </c>
      <c r="J752" s="139" t="e">
        <f t="shared" si="154"/>
        <v>#NUM!</v>
      </c>
      <c r="K752" s="155">
        <f t="shared" si="157"/>
        <v>-1</v>
      </c>
      <c r="N752" s="139">
        <f t="shared" si="155"/>
        <v>0</v>
      </c>
      <c r="O752" s="139">
        <f t="shared" si="156"/>
        <v>1</v>
      </c>
      <c r="P752" s="155"/>
      <c r="Q752" s="186"/>
      <c r="R752" s="186" t="s">
        <v>873</v>
      </c>
      <c r="S752" s="139"/>
      <c r="V752" s="139"/>
    </row>
    <row r="753" spans="4:22">
      <c r="D753" s="139"/>
      <c r="E753" s="141" t="s">
        <v>1829</v>
      </c>
      <c r="F753" s="141" t="s">
        <v>1756</v>
      </c>
      <c r="G753" s="154" t="str">
        <f t="shared" si="158"/>
        <v>/</v>
      </c>
      <c r="H753" s="141" t="str">
        <f t="shared" si="159"/>
        <v>/</v>
      </c>
      <c r="I753" s="139" t="e">
        <f t="shared" si="153"/>
        <v>#NUM!</v>
      </c>
      <c r="J753" s="139" t="e">
        <f t="shared" si="154"/>
        <v>#NUM!</v>
      </c>
      <c r="K753" s="155">
        <f t="shared" si="157"/>
        <v>-1</v>
      </c>
      <c r="N753" s="139">
        <f t="shared" si="155"/>
        <v>0</v>
      </c>
      <c r="O753" s="139">
        <f t="shared" si="156"/>
        <v>1</v>
      </c>
      <c r="P753" s="155"/>
      <c r="Q753" s="186"/>
      <c r="R753" s="186" t="s">
        <v>873</v>
      </c>
      <c r="S753" s="139"/>
      <c r="V753" s="139"/>
    </row>
    <row r="754" spans="4:22">
      <c r="D754" s="139"/>
      <c r="E754" s="141" t="s">
        <v>1829</v>
      </c>
      <c r="F754" s="141" t="s">
        <v>1756</v>
      </c>
      <c r="G754" s="154" t="str">
        <f t="shared" si="158"/>
        <v>/</v>
      </c>
      <c r="H754" s="141" t="str">
        <f t="shared" si="159"/>
        <v>/</v>
      </c>
      <c r="I754" s="139" t="e">
        <f t="shared" si="153"/>
        <v>#NUM!</v>
      </c>
      <c r="J754" s="139" t="e">
        <f t="shared" si="154"/>
        <v>#NUM!</v>
      </c>
      <c r="K754" s="155">
        <f t="shared" si="157"/>
        <v>-1</v>
      </c>
      <c r="N754" s="139">
        <f t="shared" si="155"/>
        <v>0</v>
      </c>
      <c r="O754" s="139">
        <f t="shared" si="156"/>
        <v>1</v>
      </c>
      <c r="P754" s="155"/>
      <c r="Q754" s="186"/>
      <c r="R754" s="186" t="s">
        <v>873</v>
      </c>
      <c r="S754" s="139"/>
      <c r="V754" s="139"/>
    </row>
    <row r="755" spans="4:22">
      <c r="D755" s="139"/>
      <c r="E755" s="141" t="s">
        <v>1829</v>
      </c>
      <c r="F755" s="141" t="s">
        <v>1756</v>
      </c>
      <c r="G755" s="154" t="str">
        <f t="shared" si="158"/>
        <v>/</v>
      </c>
      <c r="H755" s="141" t="str">
        <f t="shared" si="159"/>
        <v>/</v>
      </c>
      <c r="I755" s="139" t="e">
        <f t="shared" ref="I755:I818" si="160">DAY(K755)</f>
        <v>#NUM!</v>
      </c>
      <c r="J755" s="139" t="e">
        <f t="shared" ref="J755:J818" si="161">MONTH(K755)</f>
        <v>#NUM!</v>
      </c>
      <c r="K755" s="155">
        <f t="shared" si="157"/>
        <v>-1</v>
      </c>
      <c r="N755" s="139">
        <f t="shared" ref="N755:N818" si="162">DAY(P755)</f>
        <v>0</v>
      </c>
      <c r="O755" s="139">
        <f t="shared" ref="O755:O818" si="163">MONTH(P755)</f>
        <v>1</v>
      </c>
      <c r="P755" s="155"/>
      <c r="Q755" s="186"/>
      <c r="R755" s="186" t="s">
        <v>873</v>
      </c>
      <c r="S755" s="139"/>
      <c r="V755" s="139"/>
    </row>
    <row r="756" spans="4:22">
      <c r="D756" s="139"/>
      <c r="E756" s="141" t="s">
        <v>1829</v>
      </c>
      <c r="F756" s="141" t="s">
        <v>1756</v>
      </c>
      <c r="G756" s="154" t="str">
        <f t="shared" si="158"/>
        <v>/</v>
      </c>
      <c r="H756" s="141" t="str">
        <f t="shared" si="159"/>
        <v>/</v>
      </c>
      <c r="I756" s="139" t="e">
        <f t="shared" si="160"/>
        <v>#NUM!</v>
      </c>
      <c r="J756" s="139" t="e">
        <f t="shared" si="161"/>
        <v>#NUM!</v>
      </c>
      <c r="K756" s="155">
        <f t="shared" si="157"/>
        <v>-1</v>
      </c>
      <c r="N756" s="139">
        <f t="shared" si="162"/>
        <v>0</v>
      </c>
      <c r="O756" s="139">
        <f t="shared" si="163"/>
        <v>1</v>
      </c>
      <c r="P756" s="155"/>
      <c r="Q756" s="186"/>
      <c r="R756" s="186" t="s">
        <v>873</v>
      </c>
      <c r="S756" s="139"/>
      <c r="V756" s="139"/>
    </row>
    <row r="757" spans="4:22">
      <c r="D757" s="139"/>
      <c r="E757" s="141" t="s">
        <v>1829</v>
      </c>
      <c r="F757" s="141" t="s">
        <v>1756</v>
      </c>
      <c r="G757" s="154" t="str">
        <f t="shared" si="158"/>
        <v>/</v>
      </c>
      <c r="H757" s="141" t="str">
        <f t="shared" si="159"/>
        <v>/</v>
      </c>
      <c r="I757" s="139" t="e">
        <f t="shared" si="160"/>
        <v>#NUM!</v>
      </c>
      <c r="J757" s="139" t="e">
        <f t="shared" si="161"/>
        <v>#NUM!</v>
      </c>
      <c r="K757" s="155">
        <f t="shared" si="157"/>
        <v>-1</v>
      </c>
      <c r="N757" s="139">
        <f t="shared" si="162"/>
        <v>0</v>
      </c>
      <c r="O757" s="139">
        <f t="shared" si="163"/>
        <v>1</v>
      </c>
      <c r="P757" s="155"/>
      <c r="Q757" s="186"/>
      <c r="R757" s="186" t="s">
        <v>873</v>
      </c>
      <c r="S757" s="139"/>
      <c r="V757" s="139"/>
    </row>
    <row r="758" spans="4:22">
      <c r="D758" s="139"/>
      <c r="E758" s="141" t="s">
        <v>1829</v>
      </c>
      <c r="F758" s="141" t="s">
        <v>1756</v>
      </c>
      <c r="G758" s="154" t="str">
        <f t="shared" si="158"/>
        <v>/</v>
      </c>
      <c r="H758" s="141" t="str">
        <f t="shared" si="159"/>
        <v>/</v>
      </c>
      <c r="I758" s="139" t="e">
        <f t="shared" si="160"/>
        <v>#NUM!</v>
      </c>
      <c r="J758" s="139" t="e">
        <f t="shared" si="161"/>
        <v>#NUM!</v>
      </c>
      <c r="K758" s="155">
        <f t="shared" si="157"/>
        <v>-1</v>
      </c>
      <c r="N758" s="139">
        <f t="shared" si="162"/>
        <v>0</v>
      </c>
      <c r="O758" s="139">
        <f t="shared" si="163"/>
        <v>1</v>
      </c>
      <c r="P758" s="155"/>
      <c r="Q758" s="186"/>
      <c r="R758" s="186" t="s">
        <v>873</v>
      </c>
      <c r="S758" s="139"/>
      <c r="V758" s="139"/>
    </row>
    <row r="759" spans="4:22">
      <c r="D759" s="139"/>
      <c r="E759" s="141" t="s">
        <v>1829</v>
      </c>
      <c r="F759" s="141" t="s">
        <v>1756</v>
      </c>
      <c r="G759" s="154" t="str">
        <f t="shared" si="158"/>
        <v>/</v>
      </c>
      <c r="H759" s="141" t="str">
        <f t="shared" si="159"/>
        <v>/</v>
      </c>
      <c r="I759" s="139" t="e">
        <f t="shared" si="160"/>
        <v>#NUM!</v>
      </c>
      <c r="J759" s="139" t="e">
        <f t="shared" si="161"/>
        <v>#NUM!</v>
      </c>
      <c r="K759" s="155">
        <f t="shared" si="157"/>
        <v>-1</v>
      </c>
      <c r="N759" s="139">
        <f t="shared" si="162"/>
        <v>0</v>
      </c>
      <c r="O759" s="139">
        <f t="shared" si="163"/>
        <v>1</v>
      </c>
      <c r="P759" s="155"/>
      <c r="Q759" s="186"/>
      <c r="R759" s="186" t="s">
        <v>873</v>
      </c>
      <c r="S759" s="139"/>
      <c r="V759" s="139"/>
    </row>
    <row r="760" spans="4:22">
      <c r="D760" s="139"/>
      <c r="E760" s="141" t="s">
        <v>1829</v>
      </c>
      <c r="F760" s="141" t="s">
        <v>1756</v>
      </c>
      <c r="G760" s="154" t="str">
        <f t="shared" si="158"/>
        <v>/</v>
      </c>
      <c r="H760" s="141" t="str">
        <f t="shared" si="159"/>
        <v>/</v>
      </c>
      <c r="I760" s="139" t="e">
        <f t="shared" si="160"/>
        <v>#NUM!</v>
      </c>
      <c r="J760" s="139" t="e">
        <f t="shared" si="161"/>
        <v>#NUM!</v>
      </c>
      <c r="K760" s="155">
        <f t="shared" si="157"/>
        <v>-1</v>
      </c>
      <c r="N760" s="139">
        <f t="shared" si="162"/>
        <v>0</v>
      </c>
      <c r="O760" s="139">
        <f t="shared" si="163"/>
        <v>1</v>
      </c>
      <c r="P760" s="155"/>
      <c r="Q760" s="186"/>
      <c r="R760" s="186" t="s">
        <v>873</v>
      </c>
      <c r="S760" s="139"/>
      <c r="V760" s="139"/>
    </row>
    <row r="761" spans="4:22">
      <c r="D761" s="139"/>
      <c r="E761" s="141" t="s">
        <v>1829</v>
      </c>
      <c r="F761" s="141" t="s">
        <v>1756</v>
      </c>
      <c r="G761" s="154" t="str">
        <f t="shared" si="158"/>
        <v>/</v>
      </c>
      <c r="H761" s="141" t="str">
        <f t="shared" si="159"/>
        <v>/</v>
      </c>
      <c r="I761" s="139" t="e">
        <f t="shared" si="160"/>
        <v>#NUM!</v>
      </c>
      <c r="J761" s="139" t="e">
        <f t="shared" si="161"/>
        <v>#NUM!</v>
      </c>
      <c r="K761" s="155">
        <f t="shared" si="157"/>
        <v>-1</v>
      </c>
      <c r="N761" s="139">
        <f t="shared" si="162"/>
        <v>0</v>
      </c>
      <c r="O761" s="139">
        <f t="shared" si="163"/>
        <v>1</v>
      </c>
      <c r="P761" s="155"/>
      <c r="Q761" s="186"/>
      <c r="R761" s="186" t="s">
        <v>873</v>
      </c>
      <c r="S761" s="139"/>
      <c r="V761" s="139"/>
    </row>
    <row r="762" spans="4:22">
      <c r="D762" s="139"/>
      <c r="E762" s="141" t="s">
        <v>1829</v>
      </c>
      <c r="F762" s="141" t="s">
        <v>1756</v>
      </c>
      <c r="G762" s="154" t="str">
        <f t="shared" si="158"/>
        <v>/</v>
      </c>
      <c r="H762" s="141" t="str">
        <f t="shared" si="159"/>
        <v>/</v>
      </c>
      <c r="I762" s="139" t="e">
        <f t="shared" si="160"/>
        <v>#NUM!</v>
      </c>
      <c r="J762" s="139" t="e">
        <f t="shared" si="161"/>
        <v>#NUM!</v>
      </c>
      <c r="K762" s="155">
        <f t="shared" ref="K762:K825" si="164">P762-1</f>
        <v>-1</v>
      </c>
      <c r="N762" s="139">
        <f t="shared" si="162"/>
        <v>0</v>
      </c>
      <c r="O762" s="139">
        <f t="shared" si="163"/>
        <v>1</v>
      </c>
      <c r="P762" s="155"/>
      <c r="Q762" s="186"/>
      <c r="R762" s="186" t="s">
        <v>873</v>
      </c>
      <c r="S762" s="139"/>
      <c r="V762" s="139"/>
    </row>
    <row r="763" spans="4:22">
      <c r="D763" s="139"/>
      <c r="E763" s="141" t="s">
        <v>1829</v>
      </c>
      <c r="F763" s="141" t="s">
        <v>1756</v>
      </c>
      <c r="G763" s="154" t="str">
        <f t="shared" si="158"/>
        <v>/</v>
      </c>
      <c r="H763" s="141" t="str">
        <f t="shared" si="159"/>
        <v>/</v>
      </c>
      <c r="I763" s="139" t="e">
        <f t="shared" si="160"/>
        <v>#NUM!</v>
      </c>
      <c r="J763" s="139" t="e">
        <f t="shared" si="161"/>
        <v>#NUM!</v>
      </c>
      <c r="K763" s="155">
        <f t="shared" si="164"/>
        <v>-1</v>
      </c>
      <c r="N763" s="139">
        <f t="shared" si="162"/>
        <v>0</v>
      </c>
      <c r="O763" s="139">
        <f t="shared" si="163"/>
        <v>1</v>
      </c>
      <c r="P763" s="155"/>
      <c r="Q763" s="186"/>
      <c r="R763" s="186" t="s">
        <v>873</v>
      </c>
      <c r="S763" s="139"/>
      <c r="V763" s="139"/>
    </row>
    <row r="764" spans="4:22">
      <c r="D764" s="139"/>
      <c r="E764" s="141" t="s">
        <v>1829</v>
      </c>
      <c r="F764" s="141" t="s">
        <v>1756</v>
      </c>
      <c r="G764" s="154" t="str">
        <f t="shared" si="158"/>
        <v>/</v>
      </c>
      <c r="H764" s="141" t="str">
        <f t="shared" si="159"/>
        <v>/</v>
      </c>
      <c r="I764" s="139" t="e">
        <f t="shared" si="160"/>
        <v>#NUM!</v>
      </c>
      <c r="J764" s="139" t="e">
        <f t="shared" si="161"/>
        <v>#NUM!</v>
      </c>
      <c r="K764" s="155">
        <f t="shared" si="164"/>
        <v>-1</v>
      </c>
      <c r="N764" s="139">
        <f t="shared" si="162"/>
        <v>0</v>
      </c>
      <c r="O764" s="139">
        <f t="shared" si="163"/>
        <v>1</v>
      </c>
      <c r="P764" s="155"/>
      <c r="Q764" s="186"/>
      <c r="R764" s="186" t="s">
        <v>873</v>
      </c>
      <c r="S764" s="139"/>
      <c r="V764" s="139"/>
    </row>
    <row r="765" spans="4:22">
      <c r="D765" s="139"/>
      <c r="E765" s="141" t="s">
        <v>1829</v>
      </c>
      <c r="F765" s="141" t="s">
        <v>1756</v>
      </c>
      <c r="G765" s="154" t="str">
        <f t="shared" si="158"/>
        <v>/</v>
      </c>
      <c r="H765" s="141" t="str">
        <f t="shared" si="159"/>
        <v>/</v>
      </c>
      <c r="I765" s="139" t="e">
        <f t="shared" si="160"/>
        <v>#NUM!</v>
      </c>
      <c r="J765" s="139" t="e">
        <f t="shared" si="161"/>
        <v>#NUM!</v>
      </c>
      <c r="K765" s="155">
        <f t="shared" si="164"/>
        <v>-1</v>
      </c>
      <c r="N765" s="139">
        <f t="shared" si="162"/>
        <v>0</v>
      </c>
      <c r="O765" s="139">
        <f t="shared" si="163"/>
        <v>1</v>
      </c>
      <c r="P765" s="155"/>
      <c r="Q765" s="186"/>
      <c r="R765" s="186" t="s">
        <v>873</v>
      </c>
      <c r="S765" s="139"/>
      <c r="V765" s="139"/>
    </row>
    <row r="766" spans="4:22">
      <c r="D766" s="139"/>
      <c r="E766" s="141" t="s">
        <v>1829</v>
      </c>
      <c r="F766" s="141" t="s">
        <v>1756</v>
      </c>
      <c r="G766" s="154" t="str">
        <f t="shared" si="158"/>
        <v>/</v>
      </c>
      <c r="H766" s="141" t="str">
        <f t="shared" si="159"/>
        <v>/</v>
      </c>
      <c r="I766" s="139" t="e">
        <f t="shared" si="160"/>
        <v>#NUM!</v>
      </c>
      <c r="J766" s="139" t="e">
        <f t="shared" si="161"/>
        <v>#NUM!</v>
      </c>
      <c r="K766" s="155">
        <f t="shared" si="164"/>
        <v>-1</v>
      </c>
      <c r="N766" s="139">
        <f t="shared" si="162"/>
        <v>0</v>
      </c>
      <c r="O766" s="139">
        <f t="shared" si="163"/>
        <v>1</v>
      </c>
      <c r="P766" s="155"/>
      <c r="Q766" s="186"/>
      <c r="R766" s="186" t="s">
        <v>873</v>
      </c>
      <c r="S766" s="139"/>
      <c r="V766" s="139"/>
    </row>
    <row r="767" spans="4:22">
      <c r="D767" s="139"/>
      <c r="E767" s="141" t="s">
        <v>1829</v>
      </c>
      <c r="F767" s="141" t="s">
        <v>1756</v>
      </c>
      <c r="G767" s="154" t="str">
        <f t="shared" si="158"/>
        <v>/</v>
      </c>
      <c r="H767" s="141" t="str">
        <f t="shared" si="159"/>
        <v>/</v>
      </c>
      <c r="I767" s="139" t="e">
        <f t="shared" si="160"/>
        <v>#NUM!</v>
      </c>
      <c r="J767" s="139" t="e">
        <f t="shared" si="161"/>
        <v>#NUM!</v>
      </c>
      <c r="K767" s="155">
        <f t="shared" si="164"/>
        <v>-1</v>
      </c>
      <c r="N767" s="139">
        <f t="shared" si="162"/>
        <v>0</v>
      </c>
      <c r="O767" s="139">
        <f t="shared" si="163"/>
        <v>1</v>
      </c>
      <c r="P767" s="155"/>
      <c r="Q767" s="186"/>
      <c r="R767" s="186" t="s">
        <v>873</v>
      </c>
      <c r="S767" s="139"/>
      <c r="V767" s="139"/>
    </row>
    <row r="768" spans="4:22">
      <c r="D768" s="139"/>
      <c r="E768" s="141" t="s">
        <v>1829</v>
      </c>
      <c r="F768" s="141" t="s">
        <v>1756</v>
      </c>
      <c r="G768" s="154" t="str">
        <f t="shared" si="158"/>
        <v>/</v>
      </c>
      <c r="H768" s="141" t="str">
        <f t="shared" si="159"/>
        <v>/</v>
      </c>
      <c r="I768" s="139" t="e">
        <f t="shared" si="160"/>
        <v>#NUM!</v>
      </c>
      <c r="J768" s="139" t="e">
        <f t="shared" si="161"/>
        <v>#NUM!</v>
      </c>
      <c r="K768" s="155">
        <f t="shared" si="164"/>
        <v>-1</v>
      </c>
      <c r="N768" s="139">
        <f t="shared" si="162"/>
        <v>0</v>
      </c>
      <c r="O768" s="139">
        <f t="shared" si="163"/>
        <v>1</v>
      </c>
      <c r="P768" s="155"/>
      <c r="Q768" s="186"/>
      <c r="R768" s="186" t="s">
        <v>873</v>
      </c>
      <c r="S768" s="139"/>
      <c r="V768" s="139"/>
    </row>
    <row r="769" spans="4:22">
      <c r="D769" s="139"/>
      <c r="E769" s="141" t="s">
        <v>1829</v>
      </c>
      <c r="F769" s="141" t="s">
        <v>1756</v>
      </c>
      <c r="G769" s="154" t="str">
        <f t="shared" ref="G769:G832" si="165">A769&amp;"/"&amp;B769</f>
        <v>/</v>
      </c>
      <c r="H769" s="141" t="str">
        <f t="shared" ref="H769:H832" si="166">A769&amp;"/"&amp;B769</f>
        <v>/</v>
      </c>
      <c r="I769" s="139" t="e">
        <f t="shared" si="160"/>
        <v>#NUM!</v>
      </c>
      <c r="J769" s="139" t="e">
        <f t="shared" si="161"/>
        <v>#NUM!</v>
      </c>
      <c r="K769" s="155">
        <f t="shared" si="164"/>
        <v>-1</v>
      </c>
      <c r="N769" s="139">
        <f t="shared" si="162"/>
        <v>0</v>
      </c>
      <c r="O769" s="139">
        <f t="shared" si="163"/>
        <v>1</v>
      </c>
      <c r="P769" s="155"/>
      <c r="Q769" s="186"/>
      <c r="R769" s="186" t="s">
        <v>873</v>
      </c>
      <c r="S769" s="139"/>
      <c r="V769" s="139"/>
    </row>
    <row r="770" spans="4:22">
      <c r="D770" s="139"/>
      <c r="E770" s="141" t="s">
        <v>1829</v>
      </c>
      <c r="F770" s="141" t="s">
        <v>1756</v>
      </c>
      <c r="G770" s="154" t="str">
        <f t="shared" si="165"/>
        <v>/</v>
      </c>
      <c r="H770" s="141" t="str">
        <f t="shared" si="166"/>
        <v>/</v>
      </c>
      <c r="I770" s="139" t="e">
        <f t="shared" si="160"/>
        <v>#NUM!</v>
      </c>
      <c r="J770" s="139" t="e">
        <f t="shared" si="161"/>
        <v>#NUM!</v>
      </c>
      <c r="K770" s="155">
        <f t="shared" si="164"/>
        <v>-1</v>
      </c>
      <c r="N770" s="139">
        <f t="shared" si="162"/>
        <v>0</v>
      </c>
      <c r="O770" s="139">
        <f t="shared" si="163"/>
        <v>1</v>
      </c>
      <c r="P770" s="155"/>
      <c r="Q770" s="186"/>
      <c r="R770" s="186" t="s">
        <v>873</v>
      </c>
      <c r="S770" s="139"/>
      <c r="V770" s="139"/>
    </row>
    <row r="771" spans="4:22">
      <c r="D771" s="139"/>
      <c r="E771" s="141" t="s">
        <v>1829</v>
      </c>
      <c r="F771" s="141" t="s">
        <v>1756</v>
      </c>
      <c r="G771" s="154" t="str">
        <f t="shared" si="165"/>
        <v>/</v>
      </c>
      <c r="H771" s="141" t="str">
        <f t="shared" si="166"/>
        <v>/</v>
      </c>
      <c r="I771" s="139" t="e">
        <f t="shared" si="160"/>
        <v>#NUM!</v>
      </c>
      <c r="J771" s="139" t="e">
        <f t="shared" si="161"/>
        <v>#NUM!</v>
      </c>
      <c r="K771" s="155">
        <f t="shared" si="164"/>
        <v>-1</v>
      </c>
      <c r="N771" s="139">
        <f t="shared" si="162"/>
        <v>0</v>
      </c>
      <c r="O771" s="139">
        <f t="shared" si="163"/>
        <v>1</v>
      </c>
      <c r="P771" s="155"/>
      <c r="Q771" s="186"/>
      <c r="R771" s="186" t="s">
        <v>873</v>
      </c>
      <c r="S771" s="139"/>
      <c r="V771" s="139"/>
    </row>
    <row r="772" spans="4:22">
      <c r="D772" s="139"/>
      <c r="E772" s="141" t="s">
        <v>1829</v>
      </c>
      <c r="F772" s="141" t="s">
        <v>1756</v>
      </c>
      <c r="G772" s="154" t="str">
        <f t="shared" si="165"/>
        <v>/</v>
      </c>
      <c r="H772" s="141" t="str">
        <f t="shared" si="166"/>
        <v>/</v>
      </c>
      <c r="I772" s="139" t="e">
        <f t="shared" si="160"/>
        <v>#NUM!</v>
      </c>
      <c r="J772" s="139" t="e">
        <f t="shared" si="161"/>
        <v>#NUM!</v>
      </c>
      <c r="K772" s="155">
        <f t="shared" si="164"/>
        <v>-1</v>
      </c>
      <c r="N772" s="139">
        <f t="shared" si="162"/>
        <v>0</v>
      </c>
      <c r="O772" s="139">
        <f t="shared" si="163"/>
        <v>1</v>
      </c>
      <c r="P772" s="155"/>
      <c r="Q772" s="186"/>
      <c r="R772" s="186" t="s">
        <v>873</v>
      </c>
      <c r="S772" s="139"/>
      <c r="V772" s="139"/>
    </row>
    <row r="773" spans="4:22">
      <c r="D773" s="139"/>
      <c r="E773" s="141" t="s">
        <v>1829</v>
      </c>
      <c r="F773" s="141" t="s">
        <v>1756</v>
      </c>
      <c r="G773" s="154" t="str">
        <f t="shared" si="165"/>
        <v>/</v>
      </c>
      <c r="H773" s="141" t="str">
        <f t="shared" si="166"/>
        <v>/</v>
      </c>
      <c r="I773" s="139" t="e">
        <f t="shared" si="160"/>
        <v>#NUM!</v>
      </c>
      <c r="J773" s="139" t="e">
        <f t="shared" si="161"/>
        <v>#NUM!</v>
      </c>
      <c r="K773" s="155">
        <f t="shared" si="164"/>
        <v>-1</v>
      </c>
      <c r="N773" s="139">
        <f t="shared" si="162"/>
        <v>0</v>
      </c>
      <c r="O773" s="139">
        <f t="shared" si="163"/>
        <v>1</v>
      </c>
      <c r="P773" s="155"/>
      <c r="Q773" s="186"/>
      <c r="R773" s="186" t="s">
        <v>873</v>
      </c>
      <c r="S773" s="139"/>
      <c r="V773" s="139"/>
    </row>
    <row r="774" spans="4:22">
      <c r="D774" s="139"/>
      <c r="E774" s="141" t="s">
        <v>1829</v>
      </c>
      <c r="F774" s="141" t="s">
        <v>1756</v>
      </c>
      <c r="G774" s="154" t="str">
        <f t="shared" si="165"/>
        <v>/</v>
      </c>
      <c r="H774" s="141" t="str">
        <f t="shared" si="166"/>
        <v>/</v>
      </c>
      <c r="I774" s="139" t="e">
        <f t="shared" si="160"/>
        <v>#NUM!</v>
      </c>
      <c r="J774" s="139" t="e">
        <f t="shared" si="161"/>
        <v>#NUM!</v>
      </c>
      <c r="K774" s="155">
        <f t="shared" si="164"/>
        <v>-1</v>
      </c>
      <c r="N774" s="139">
        <f t="shared" si="162"/>
        <v>0</v>
      </c>
      <c r="O774" s="139">
        <f t="shared" si="163"/>
        <v>1</v>
      </c>
      <c r="P774" s="155"/>
      <c r="Q774" s="186"/>
      <c r="R774" s="186" t="s">
        <v>873</v>
      </c>
      <c r="S774" s="139"/>
      <c r="V774" s="139"/>
    </row>
    <row r="775" spans="4:22">
      <c r="D775" s="139"/>
      <c r="E775" s="141" t="s">
        <v>1829</v>
      </c>
      <c r="F775" s="141" t="s">
        <v>1756</v>
      </c>
      <c r="G775" s="154" t="str">
        <f t="shared" si="165"/>
        <v>/</v>
      </c>
      <c r="H775" s="141" t="str">
        <f t="shared" si="166"/>
        <v>/</v>
      </c>
      <c r="I775" s="139" t="e">
        <f t="shared" si="160"/>
        <v>#NUM!</v>
      </c>
      <c r="J775" s="139" t="e">
        <f t="shared" si="161"/>
        <v>#NUM!</v>
      </c>
      <c r="K775" s="155">
        <f t="shared" si="164"/>
        <v>-1</v>
      </c>
      <c r="N775" s="139">
        <f t="shared" si="162"/>
        <v>0</v>
      </c>
      <c r="O775" s="139">
        <f t="shared" si="163"/>
        <v>1</v>
      </c>
      <c r="P775" s="155"/>
      <c r="Q775" s="186"/>
      <c r="R775" s="186" t="s">
        <v>873</v>
      </c>
      <c r="S775" s="139"/>
      <c r="V775" s="139"/>
    </row>
    <row r="776" spans="4:22">
      <c r="D776" s="139"/>
      <c r="E776" s="141" t="s">
        <v>1829</v>
      </c>
      <c r="F776" s="141" t="s">
        <v>1756</v>
      </c>
      <c r="G776" s="154" t="str">
        <f t="shared" si="165"/>
        <v>/</v>
      </c>
      <c r="H776" s="141" t="str">
        <f t="shared" si="166"/>
        <v>/</v>
      </c>
      <c r="I776" s="139" t="e">
        <f t="shared" si="160"/>
        <v>#NUM!</v>
      </c>
      <c r="J776" s="139" t="e">
        <f t="shared" si="161"/>
        <v>#NUM!</v>
      </c>
      <c r="K776" s="155">
        <f t="shared" si="164"/>
        <v>-1</v>
      </c>
      <c r="N776" s="139">
        <f t="shared" si="162"/>
        <v>0</v>
      </c>
      <c r="O776" s="139">
        <f t="shared" si="163"/>
        <v>1</v>
      </c>
      <c r="P776" s="155"/>
      <c r="Q776" s="186"/>
      <c r="R776" s="186" t="s">
        <v>873</v>
      </c>
      <c r="S776" s="139"/>
      <c r="V776" s="139"/>
    </row>
    <row r="777" spans="4:22">
      <c r="D777" s="139"/>
      <c r="E777" s="141" t="s">
        <v>1829</v>
      </c>
      <c r="F777" s="141" t="s">
        <v>1756</v>
      </c>
      <c r="G777" s="154" t="str">
        <f t="shared" si="165"/>
        <v>/</v>
      </c>
      <c r="H777" s="141" t="str">
        <f t="shared" si="166"/>
        <v>/</v>
      </c>
      <c r="I777" s="139" t="e">
        <f t="shared" si="160"/>
        <v>#NUM!</v>
      </c>
      <c r="J777" s="139" t="e">
        <f t="shared" si="161"/>
        <v>#NUM!</v>
      </c>
      <c r="K777" s="155">
        <f t="shared" si="164"/>
        <v>-1</v>
      </c>
      <c r="N777" s="139">
        <f t="shared" si="162"/>
        <v>0</v>
      </c>
      <c r="O777" s="139">
        <f t="shared" si="163"/>
        <v>1</v>
      </c>
      <c r="P777" s="155"/>
      <c r="Q777" s="186"/>
      <c r="R777" s="186" t="s">
        <v>873</v>
      </c>
      <c r="S777" s="139"/>
      <c r="V777" s="139"/>
    </row>
    <row r="778" spans="4:22">
      <c r="D778" s="139"/>
      <c r="E778" s="141" t="s">
        <v>1829</v>
      </c>
      <c r="F778" s="141" t="s">
        <v>1756</v>
      </c>
      <c r="G778" s="154" t="str">
        <f t="shared" si="165"/>
        <v>/</v>
      </c>
      <c r="H778" s="141" t="str">
        <f t="shared" si="166"/>
        <v>/</v>
      </c>
      <c r="I778" s="139" t="e">
        <f t="shared" si="160"/>
        <v>#NUM!</v>
      </c>
      <c r="J778" s="139" t="e">
        <f t="shared" si="161"/>
        <v>#NUM!</v>
      </c>
      <c r="K778" s="155">
        <f t="shared" si="164"/>
        <v>-1</v>
      </c>
      <c r="N778" s="139">
        <f t="shared" si="162"/>
        <v>0</v>
      </c>
      <c r="O778" s="139">
        <f t="shared" si="163"/>
        <v>1</v>
      </c>
      <c r="P778" s="155"/>
      <c r="Q778" s="186"/>
      <c r="R778" s="186" t="s">
        <v>873</v>
      </c>
      <c r="S778" s="139"/>
      <c r="V778" s="139"/>
    </row>
    <row r="779" spans="4:22">
      <c r="D779" s="139"/>
      <c r="E779" s="141" t="s">
        <v>1829</v>
      </c>
      <c r="F779" s="141" t="s">
        <v>1756</v>
      </c>
      <c r="G779" s="154" t="str">
        <f t="shared" si="165"/>
        <v>/</v>
      </c>
      <c r="H779" s="141" t="str">
        <f t="shared" si="166"/>
        <v>/</v>
      </c>
      <c r="I779" s="139" t="e">
        <f t="shared" si="160"/>
        <v>#NUM!</v>
      </c>
      <c r="J779" s="139" t="e">
        <f t="shared" si="161"/>
        <v>#NUM!</v>
      </c>
      <c r="K779" s="155">
        <f t="shared" si="164"/>
        <v>-1</v>
      </c>
      <c r="N779" s="139">
        <f t="shared" si="162"/>
        <v>0</v>
      </c>
      <c r="O779" s="139">
        <f t="shared" si="163"/>
        <v>1</v>
      </c>
      <c r="P779" s="155"/>
      <c r="Q779" s="186"/>
      <c r="R779" s="186" t="s">
        <v>873</v>
      </c>
      <c r="S779" s="139"/>
      <c r="V779" s="139"/>
    </row>
    <row r="780" spans="4:22">
      <c r="D780" s="139"/>
      <c r="E780" s="141" t="s">
        <v>1829</v>
      </c>
      <c r="F780" s="141" t="s">
        <v>1756</v>
      </c>
      <c r="G780" s="154" t="str">
        <f t="shared" si="165"/>
        <v>/</v>
      </c>
      <c r="H780" s="141" t="str">
        <f t="shared" si="166"/>
        <v>/</v>
      </c>
      <c r="I780" s="139" t="e">
        <f t="shared" si="160"/>
        <v>#NUM!</v>
      </c>
      <c r="J780" s="139" t="e">
        <f t="shared" si="161"/>
        <v>#NUM!</v>
      </c>
      <c r="K780" s="155">
        <f t="shared" si="164"/>
        <v>-1</v>
      </c>
      <c r="N780" s="139">
        <f t="shared" si="162"/>
        <v>0</v>
      </c>
      <c r="O780" s="139">
        <f t="shared" si="163"/>
        <v>1</v>
      </c>
      <c r="P780" s="155"/>
      <c r="Q780" s="186"/>
      <c r="R780" s="186" t="s">
        <v>873</v>
      </c>
      <c r="S780" s="139"/>
      <c r="V780" s="139"/>
    </row>
    <row r="781" spans="4:22">
      <c r="D781" s="139"/>
      <c r="E781" s="141" t="s">
        <v>1829</v>
      </c>
      <c r="F781" s="141" t="s">
        <v>1756</v>
      </c>
      <c r="G781" s="154" t="str">
        <f t="shared" si="165"/>
        <v>/</v>
      </c>
      <c r="H781" s="141" t="str">
        <f t="shared" si="166"/>
        <v>/</v>
      </c>
      <c r="I781" s="139" t="e">
        <f t="shared" si="160"/>
        <v>#NUM!</v>
      </c>
      <c r="J781" s="139" t="e">
        <f t="shared" si="161"/>
        <v>#NUM!</v>
      </c>
      <c r="K781" s="155">
        <f t="shared" si="164"/>
        <v>-1</v>
      </c>
      <c r="N781" s="139">
        <f t="shared" si="162"/>
        <v>0</v>
      </c>
      <c r="O781" s="139">
        <f t="shared" si="163"/>
        <v>1</v>
      </c>
      <c r="P781" s="155"/>
      <c r="Q781" s="186"/>
      <c r="R781" s="186" t="s">
        <v>873</v>
      </c>
      <c r="S781" s="139"/>
      <c r="V781" s="139"/>
    </row>
    <row r="782" spans="4:22">
      <c r="D782" s="139"/>
      <c r="E782" s="141" t="s">
        <v>1829</v>
      </c>
      <c r="F782" s="141" t="s">
        <v>1756</v>
      </c>
      <c r="G782" s="154" t="str">
        <f t="shared" si="165"/>
        <v>/</v>
      </c>
      <c r="H782" s="141" t="str">
        <f t="shared" si="166"/>
        <v>/</v>
      </c>
      <c r="I782" s="139" t="e">
        <f t="shared" si="160"/>
        <v>#NUM!</v>
      </c>
      <c r="J782" s="139" t="e">
        <f t="shared" si="161"/>
        <v>#NUM!</v>
      </c>
      <c r="K782" s="155">
        <f t="shared" si="164"/>
        <v>-1</v>
      </c>
      <c r="N782" s="139">
        <f t="shared" si="162"/>
        <v>0</v>
      </c>
      <c r="O782" s="139">
        <f t="shared" si="163"/>
        <v>1</v>
      </c>
      <c r="P782" s="155"/>
      <c r="Q782" s="186"/>
      <c r="R782" s="186" t="s">
        <v>873</v>
      </c>
      <c r="S782" s="139"/>
      <c r="V782" s="139"/>
    </row>
    <row r="783" spans="4:22">
      <c r="D783" s="139"/>
      <c r="E783" s="141" t="s">
        <v>1829</v>
      </c>
      <c r="F783" s="141" t="s">
        <v>1756</v>
      </c>
      <c r="G783" s="154" t="str">
        <f t="shared" si="165"/>
        <v>/</v>
      </c>
      <c r="H783" s="141" t="str">
        <f t="shared" si="166"/>
        <v>/</v>
      </c>
      <c r="I783" s="139" t="e">
        <f t="shared" si="160"/>
        <v>#NUM!</v>
      </c>
      <c r="J783" s="139" t="e">
        <f t="shared" si="161"/>
        <v>#NUM!</v>
      </c>
      <c r="K783" s="155">
        <f t="shared" si="164"/>
        <v>-1</v>
      </c>
      <c r="N783" s="139">
        <f t="shared" si="162"/>
        <v>0</v>
      </c>
      <c r="O783" s="139">
        <f t="shared" si="163"/>
        <v>1</v>
      </c>
      <c r="P783" s="155"/>
      <c r="Q783" s="186"/>
      <c r="R783" s="186" t="s">
        <v>873</v>
      </c>
      <c r="S783" s="139"/>
      <c r="V783" s="139"/>
    </row>
    <row r="784" spans="4:22">
      <c r="D784" s="139"/>
      <c r="E784" s="141" t="s">
        <v>1829</v>
      </c>
      <c r="F784" s="141" t="s">
        <v>1756</v>
      </c>
      <c r="G784" s="154" t="str">
        <f t="shared" si="165"/>
        <v>/</v>
      </c>
      <c r="H784" s="141" t="str">
        <f t="shared" si="166"/>
        <v>/</v>
      </c>
      <c r="I784" s="139" t="e">
        <f t="shared" si="160"/>
        <v>#NUM!</v>
      </c>
      <c r="J784" s="139" t="e">
        <f t="shared" si="161"/>
        <v>#NUM!</v>
      </c>
      <c r="K784" s="155">
        <f t="shared" si="164"/>
        <v>-1</v>
      </c>
      <c r="N784" s="139">
        <f t="shared" si="162"/>
        <v>0</v>
      </c>
      <c r="O784" s="139">
        <f t="shared" si="163"/>
        <v>1</v>
      </c>
      <c r="P784" s="155"/>
      <c r="Q784" s="186"/>
      <c r="R784" s="186" t="s">
        <v>873</v>
      </c>
      <c r="S784" s="139"/>
      <c r="V784" s="139"/>
    </row>
    <row r="785" spans="4:22">
      <c r="D785" s="139"/>
      <c r="E785" s="141" t="s">
        <v>1829</v>
      </c>
      <c r="F785" s="141" t="s">
        <v>1756</v>
      </c>
      <c r="G785" s="154" t="str">
        <f t="shared" si="165"/>
        <v>/</v>
      </c>
      <c r="H785" s="141" t="str">
        <f t="shared" si="166"/>
        <v>/</v>
      </c>
      <c r="I785" s="139" t="e">
        <f t="shared" si="160"/>
        <v>#NUM!</v>
      </c>
      <c r="J785" s="139" t="e">
        <f t="shared" si="161"/>
        <v>#NUM!</v>
      </c>
      <c r="K785" s="155">
        <f t="shared" si="164"/>
        <v>-1</v>
      </c>
      <c r="N785" s="139">
        <f t="shared" si="162"/>
        <v>0</v>
      </c>
      <c r="O785" s="139">
        <f t="shared" si="163"/>
        <v>1</v>
      </c>
      <c r="P785" s="155"/>
      <c r="Q785" s="186"/>
      <c r="R785" s="186" t="s">
        <v>873</v>
      </c>
      <c r="S785" s="139"/>
      <c r="V785" s="139"/>
    </row>
    <row r="786" spans="4:22">
      <c r="D786" s="139"/>
      <c r="E786" s="141" t="s">
        <v>1829</v>
      </c>
      <c r="F786" s="141" t="s">
        <v>1756</v>
      </c>
      <c r="G786" s="154" t="str">
        <f t="shared" si="165"/>
        <v>/</v>
      </c>
      <c r="H786" s="141" t="str">
        <f t="shared" si="166"/>
        <v>/</v>
      </c>
      <c r="I786" s="139" t="e">
        <f t="shared" si="160"/>
        <v>#NUM!</v>
      </c>
      <c r="J786" s="139" t="e">
        <f t="shared" si="161"/>
        <v>#NUM!</v>
      </c>
      <c r="K786" s="155">
        <f t="shared" si="164"/>
        <v>-1</v>
      </c>
      <c r="N786" s="139">
        <f t="shared" si="162"/>
        <v>0</v>
      </c>
      <c r="O786" s="139">
        <f t="shared" si="163"/>
        <v>1</v>
      </c>
      <c r="P786" s="155"/>
      <c r="Q786" s="186"/>
      <c r="R786" s="186" t="s">
        <v>873</v>
      </c>
      <c r="S786" s="139"/>
      <c r="V786" s="139"/>
    </row>
    <row r="787" spans="4:22">
      <c r="D787" s="139"/>
      <c r="E787" s="141" t="s">
        <v>1829</v>
      </c>
      <c r="F787" s="141" t="s">
        <v>1756</v>
      </c>
      <c r="G787" s="154" t="str">
        <f t="shared" si="165"/>
        <v>/</v>
      </c>
      <c r="H787" s="141" t="str">
        <f t="shared" si="166"/>
        <v>/</v>
      </c>
      <c r="I787" s="139" t="e">
        <f t="shared" si="160"/>
        <v>#NUM!</v>
      </c>
      <c r="J787" s="139" t="e">
        <f t="shared" si="161"/>
        <v>#NUM!</v>
      </c>
      <c r="K787" s="155">
        <f t="shared" si="164"/>
        <v>-1</v>
      </c>
      <c r="N787" s="139">
        <f t="shared" si="162"/>
        <v>0</v>
      </c>
      <c r="O787" s="139">
        <f t="shared" si="163"/>
        <v>1</v>
      </c>
      <c r="P787" s="155"/>
      <c r="Q787" s="186"/>
      <c r="R787" s="186" t="s">
        <v>873</v>
      </c>
      <c r="S787" s="139"/>
      <c r="V787" s="139"/>
    </row>
    <row r="788" spans="4:22">
      <c r="D788" s="139"/>
      <c r="E788" s="141" t="s">
        <v>1829</v>
      </c>
      <c r="F788" s="141" t="s">
        <v>1756</v>
      </c>
      <c r="G788" s="154" t="str">
        <f t="shared" si="165"/>
        <v>/</v>
      </c>
      <c r="H788" s="141" t="str">
        <f t="shared" si="166"/>
        <v>/</v>
      </c>
      <c r="I788" s="139" t="e">
        <f t="shared" si="160"/>
        <v>#NUM!</v>
      </c>
      <c r="J788" s="139" t="e">
        <f t="shared" si="161"/>
        <v>#NUM!</v>
      </c>
      <c r="K788" s="155">
        <f t="shared" si="164"/>
        <v>-1</v>
      </c>
      <c r="N788" s="139">
        <f t="shared" si="162"/>
        <v>0</v>
      </c>
      <c r="O788" s="139">
        <f t="shared" si="163"/>
        <v>1</v>
      </c>
      <c r="P788" s="155"/>
      <c r="Q788" s="186"/>
      <c r="R788" s="186" t="s">
        <v>873</v>
      </c>
      <c r="S788" s="139"/>
      <c r="V788" s="139"/>
    </row>
    <row r="789" spans="4:22">
      <c r="D789" s="139"/>
      <c r="E789" s="141" t="s">
        <v>1829</v>
      </c>
      <c r="F789" s="141" t="s">
        <v>1756</v>
      </c>
      <c r="G789" s="154" t="str">
        <f t="shared" si="165"/>
        <v>/</v>
      </c>
      <c r="H789" s="141" t="str">
        <f t="shared" si="166"/>
        <v>/</v>
      </c>
      <c r="I789" s="139" t="e">
        <f t="shared" si="160"/>
        <v>#NUM!</v>
      </c>
      <c r="J789" s="139" t="e">
        <f t="shared" si="161"/>
        <v>#NUM!</v>
      </c>
      <c r="K789" s="155">
        <f t="shared" si="164"/>
        <v>-1</v>
      </c>
      <c r="N789" s="139">
        <f t="shared" si="162"/>
        <v>0</v>
      </c>
      <c r="O789" s="139">
        <f t="shared" si="163"/>
        <v>1</v>
      </c>
      <c r="P789" s="155"/>
      <c r="Q789" s="186"/>
      <c r="R789" s="186" t="s">
        <v>873</v>
      </c>
      <c r="S789" s="139"/>
      <c r="V789" s="139"/>
    </row>
    <row r="790" spans="4:22">
      <c r="D790" s="139"/>
      <c r="E790" s="141" t="s">
        <v>1829</v>
      </c>
      <c r="F790" s="141" t="s">
        <v>1756</v>
      </c>
      <c r="G790" s="154" t="str">
        <f t="shared" si="165"/>
        <v>/</v>
      </c>
      <c r="H790" s="141" t="str">
        <f t="shared" si="166"/>
        <v>/</v>
      </c>
      <c r="I790" s="139" t="e">
        <f t="shared" si="160"/>
        <v>#NUM!</v>
      </c>
      <c r="J790" s="139" t="e">
        <f t="shared" si="161"/>
        <v>#NUM!</v>
      </c>
      <c r="K790" s="155">
        <f t="shared" si="164"/>
        <v>-1</v>
      </c>
      <c r="N790" s="139">
        <f t="shared" si="162"/>
        <v>0</v>
      </c>
      <c r="O790" s="139">
        <f t="shared" si="163"/>
        <v>1</v>
      </c>
      <c r="P790" s="155"/>
      <c r="Q790" s="186"/>
      <c r="R790" s="186" t="s">
        <v>873</v>
      </c>
      <c r="S790" s="139"/>
      <c r="V790" s="139"/>
    </row>
    <row r="791" spans="4:22">
      <c r="D791" s="139"/>
      <c r="E791" s="141" t="s">
        <v>1829</v>
      </c>
      <c r="F791" s="141" t="s">
        <v>1756</v>
      </c>
      <c r="G791" s="154" t="str">
        <f t="shared" si="165"/>
        <v>/</v>
      </c>
      <c r="H791" s="141" t="str">
        <f t="shared" si="166"/>
        <v>/</v>
      </c>
      <c r="I791" s="139" t="e">
        <f t="shared" si="160"/>
        <v>#NUM!</v>
      </c>
      <c r="J791" s="139" t="e">
        <f t="shared" si="161"/>
        <v>#NUM!</v>
      </c>
      <c r="K791" s="155">
        <f t="shared" si="164"/>
        <v>-1</v>
      </c>
      <c r="N791" s="139">
        <f t="shared" si="162"/>
        <v>0</v>
      </c>
      <c r="O791" s="139">
        <f t="shared" si="163"/>
        <v>1</v>
      </c>
      <c r="P791" s="155"/>
      <c r="Q791" s="186"/>
      <c r="R791" s="186" t="s">
        <v>873</v>
      </c>
      <c r="S791" s="139"/>
      <c r="V791" s="139"/>
    </row>
    <row r="792" spans="4:22">
      <c r="D792" s="139"/>
      <c r="E792" s="141" t="s">
        <v>1829</v>
      </c>
      <c r="F792" s="141" t="s">
        <v>1756</v>
      </c>
      <c r="G792" s="154" t="str">
        <f t="shared" si="165"/>
        <v>/</v>
      </c>
      <c r="H792" s="141" t="str">
        <f t="shared" si="166"/>
        <v>/</v>
      </c>
      <c r="I792" s="139" t="e">
        <f t="shared" si="160"/>
        <v>#NUM!</v>
      </c>
      <c r="J792" s="139" t="e">
        <f t="shared" si="161"/>
        <v>#NUM!</v>
      </c>
      <c r="K792" s="155">
        <f t="shared" si="164"/>
        <v>-1</v>
      </c>
      <c r="N792" s="139">
        <f t="shared" si="162"/>
        <v>0</v>
      </c>
      <c r="O792" s="139">
        <f t="shared" si="163"/>
        <v>1</v>
      </c>
      <c r="P792" s="155"/>
      <c r="Q792" s="186"/>
      <c r="R792" s="186" t="s">
        <v>873</v>
      </c>
      <c r="S792" s="139"/>
      <c r="V792" s="139"/>
    </row>
    <row r="793" spans="4:22">
      <c r="D793" s="139"/>
      <c r="E793" s="141" t="s">
        <v>1829</v>
      </c>
      <c r="F793" s="141" t="s">
        <v>1756</v>
      </c>
      <c r="G793" s="154" t="str">
        <f t="shared" si="165"/>
        <v>/</v>
      </c>
      <c r="H793" s="141" t="str">
        <f t="shared" si="166"/>
        <v>/</v>
      </c>
      <c r="I793" s="139" t="e">
        <f t="shared" si="160"/>
        <v>#NUM!</v>
      </c>
      <c r="J793" s="139" t="e">
        <f t="shared" si="161"/>
        <v>#NUM!</v>
      </c>
      <c r="K793" s="155">
        <f t="shared" si="164"/>
        <v>-1</v>
      </c>
      <c r="N793" s="139">
        <f t="shared" si="162"/>
        <v>0</v>
      </c>
      <c r="O793" s="139">
        <f t="shared" si="163"/>
        <v>1</v>
      </c>
      <c r="P793" s="155"/>
      <c r="Q793" s="186"/>
      <c r="R793" s="186" t="s">
        <v>873</v>
      </c>
      <c r="S793" s="139"/>
      <c r="V793" s="139"/>
    </row>
    <row r="794" spans="4:22">
      <c r="D794" s="139"/>
      <c r="E794" s="141" t="s">
        <v>1829</v>
      </c>
      <c r="F794" s="141" t="s">
        <v>1756</v>
      </c>
      <c r="G794" s="154" t="str">
        <f t="shared" si="165"/>
        <v>/</v>
      </c>
      <c r="H794" s="141" t="str">
        <f t="shared" si="166"/>
        <v>/</v>
      </c>
      <c r="I794" s="139" t="e">
        <f t="shared" si="160"/>
        <v>#NUM!</v>
      </c>
      <c r="J794" s="139" t="e">
        <f t="shared" si="161"/>
        <v>#NUM!</v>
      </c>
      <c r="K794" s="155">
        <f t="shared" si="164"/>
        <v>-1</v>
      </c>
      <c r="N794" s="139">
        <f t="shared" si="162"/>
        <v>0</v>
      </c>
      <c r="O794" s="139">
        <f t="shared" si="163"/>
        <v>1</v>
      </c>
      <c r="P794" s="155"/>
      <c r="Q794" s="186"/>
      <c r="R794" s="186" t="s">
        <v>873</v>
      </c>
      <c r="S794" s="139"/>
      <c r="V794" s="139"/>
    </row>
    <row r="795" spans="4:22">
      <c r="D795" s="139"/>
      <c r="E795" s="141" t="s">
        <v>1829</v>
      </c>
      <c r="F795" s="141" t="s">
        <v>1756</v>
      </c>
      <c r="G795" s="154" t="str">
        <f t="shared" si="165"/>
        <v>/</v>
      </c>
      <c r="H795" s="141" t="str">
        <f t="shared" si="166"/>
        <v>/</v>
      </c>
      <c r="I795" s="139" t="e">
        <f t="shared" si="160"/>
        <v>#NUM!</v>
      </c>
      <c r="J795" s="139" t="e">
        <f t="shared" si="161"/>
        <v>#NUM!</v>
      </c>
      <c r="K795" s="155">
        <f t="shared" si="164"/>
        <v>-1</v>
      </c>
      <c r="N795" s="139">
        <f t="shared" si="162"/>
        <v>0</v>
      </c>
      <c r="O795" s="139">
        <f t="shared" si="163"/>
        <v>1</v>
      </c>
      <c r="P795" s="155"/>
      <c r="Q795" s="186"/>
      <c r="R795" s="186" t="s">
        <v>873</v>
      </c>
      <c r="S795" s="139"/>
      <c r="V795" s="139"/>
    </row>
    <row r="796" spans="4:22">
      <c r="D796" s="139"/>
      <c r="E796" s="141" t="s">
        <v>1829</v>
      </c>
      <c r="F796" s="141" t="s">
        <v>1756</v>
      </c>
      <c r="G796" s="154" t="str">
        <f t="shared" si="165"/>
        <v>/</v>
      </c>
      <c r="H796" s="141" t="str">
        <f t="shared" si="166"/>
        <v>/</v>
      </c>
      <c r="I796" s="139" t="e">
        <f t="shared" si="160"/>
        <v>#NUM!</v>
      </c>
      <c r="J796" s="139" t="e">
        <f t="shared" si="161"/>
        <v>#NUM!</v>
      </c>
      <c r="K796" s="155">
        <f t="shared" si="164"/>
        <v>-1</v>
      </c>
      <c r="N796" s="139">
        <f t="shared" si="162"/>
        <v>0</v>
      </c>
      <c r="O796" s="139">
        <f t="shared" si="163"/>
        <v>1</v>
      </c>
      <c r="P796" s="155"/>
      <c r="Q796" s="186"/>
      <c r="R796" s="186" t="s">
        <v>873</v>
      </c>
      <c r="S796" s="139"/>
      <c r="V796" s="139"/>
    </row>
    <row r="797" spans="4:22">
      <c r="D797" s="139"/>
      <c r="E797" s="141" t="s">
        <v>1829</v>
      </c>
      <c r="F797" s="141" t="s">
        <v>1756</v>
      </c>
      <c r="G797" s="154" t="str">
        <f t="shared" si="165"/>
        <v>/</v>
      </c>
      <c r="H797" s="141" t="str">
        <f t="shared" si="166"/>
        <v>/</v>
      </c>
      <c r="I797" s="139" t="e">
        <f t="shared" si="160"/>
        <v>#NUM!</v>
      </c>
      <c r="J797" s="139" t="e">
        <f t="shared" si="161"/>
        <v>#NUM!</v>
      </c>
      <c r="K797" s="155">
        <f t="shared" si="164"/>
        <v>-1</v>
      </c>
      <c r="N797" s="139">
        <f t="shared" si="162"/>
        <v>0</v>
      </c>
      <c r="O797" s="139">
        <f t="shared" si="163"/>
        <v>1</v>
      </c>
      <c r="P797" s="155"/>
      <c r="Q797" s="186"/>
      <c r="R797" s="186" t="s">
        <v>873</v>
      </c>
      <c r="S797" s="139"/>
      <c r="V797" s="139"/>
    </row>
    <row r="798" spans="4:22">
      <c r="D798" s="139"/>
      <c r="E798" s="141" t="s">
        <v>1829</v>
      </c>
      <c r="F798" s="141" t="s">
        <v>1756</v>
      </c>
      <c r="G798" s="154" t="str">
        <f t="shared" si="165"/>
        <v>/</v>
      </c>
      <c r="H798" s="141" t="str">
        <f t="shared" si="166"/>
        <v>/</v>
      </c>
      <c r="I798" s="139" t="e">
        <f t="shared" si="160"/>
        <v>#NUM!</v>
      </c>
      <c r="J798" s="139" t="e">
        <f t="shared" si="161"/>
        <v>#NUM!</v>
      </c>
      <c r="K798" s="155">
        <f t="shared" si="164"/>
        <v>-1</v>
      </c>
      <c r="N798" s="139">
        <f t="shared" si="162"/>
        <v>0</v>
      </c>
      <c r="O798" s="139">
        <f t="shared" si="163"/>
        <v>1</v>
      </c>
      <c r="P798" s="155"/>
      <c r="Q798" s="186"/>
      <c r="R798" s="186" t="s">
        <v>873</v>
      </c>
      <c r="S798" s="139"/>
      <c r="V798" s="139"/>
    </row>
    <row r="799" spans="4:22">
      <c r="D799" s="139"/>
      <c r="E799" s="141" t="s">
        <v>1829</v>
      </c>
      <c r="F799" s="141" t="s">
        <v>1756</v>
      </c>
      <c r="G799" s="154" t="str">
        <f t="shared" si="165"/>
        <v>/</v>
      </c>
      <c r="H799" s="141" t="str">
        <f t="shared" si="166"/>
        <v>/</v>
      </c>
      <c r="I799" s="139" t="e">
        <f t="shared" si="160"/>
        <v>#NUM!</v>
      </c>
      <c r="J799" s="139" t="e">
        <f t="shared" si="161"/>
        <v>#NUM!</v>
      </c>
      <c r="K799" s="155">
        <f t="shared" si="164"/>
        <v>-1</v>
      </c>
      <c r="N799" s="139">
        <f t="shared" si="162"/>
        <v>0</v>
      </c>
      <c r="O799" s="139">
        <f t="shared" si="163"/>
        <v>1</v>
      </c>
      <c r="P799" s="155"/>
      <c r="Q799" s="186"/>
      <c r="R799" s="186" t="s">
        <v>873</v>
      </c>
      <c r="S799" s="139"/>
      <c r="V799" s="139"/>
    </row>
    <row r="800" spans="4:22">
      <c r="D800" s="139"/>
      <c r="E800" s="141" t="s">
        <v>1829</v>
      </c>
      <c r="F800" s="141" t="s">
        <v>1756</v>
      </c>
      <c r="G800" s="154" t="str">
        <f t="shared" si="165"/>
        <v>/</v>
      </c>
      <c r="H800" s="141" t="str">
        <f t="shared" si="166"/>
        <v>/</v>
      </c>
      <c r="I800" s="139" t="e">
        <f t="shared" si="160"/>
        <v>#NUM!</v>
      </c>
      <c r="J800" s="139" t="e">
        <f t="shared" si="161"/>
        <v>#NUM!</v>
      </c>
      <c r="K800" s="155">
        <f t="shared" si="164"/>
        <v>-1</v>
      </c>
      <c r="N800" s="139">
        <f t="shared" si="162"/>
        <v>0</v>
      </c>
      <c r="O800" s="139">
        <f t="shared" si="163"/>
        <v>1</v>
      </c>
      <c r="P800" s="155"/>
      <c r="Q800" s="186"/>
      <c r="R800" s="186" t="s">
        <v>873</v>
      </c>
      <c r="S800" s="139"/>
      <c r="V800" s="139"/>
    </row>
    <row r="801" spans="4:22">
      <c r="D801" s="139"/>
      <c r="E801" s="141" t="s">
        <v>1829</v>
      </c>
      <c r="F801" s="141" t="s">
        <v>1756</v>
      </c>
      <c r="G801" s="154" t="str">
        <f t="shared" si="165"/>
        <v>/</v>
      </c>
      <c r="H801" s="141" t="str">
        <f t="shared" si="166"/>
        <v>/</v>
      </c>
      <c r="I801" s="139" t="e">
        <f t="shared" si="160"/>
        <v>#NUM!</v>
      </c>
      <c r="J801" s="139" t="e">
        <f t="shared" si="161"/>
        <v>#NUM!</v>
      </c>
      <c r="K801" s="155">
        <f t="shared" si="164"/>
        <v>-1</v>
      </c>
      <c r="N801" s="139">
        <f t="shared" si="162"/>
        <v>0</v>
      </c>
      <c r="O801" s="139">
        <f t="shared" si="163"/>
        <v>1</v>
      </c>
      <c r="P801" s="155"/>
      <c r="Q801" s="186"/>
      <c r="R801" s="186" t="s">
        <v>873</v>
      </c>
      <c r="S801" s="139"/>
      <c r="V801" s="139"/>
    </row>
    <row r="802" spans="4:22">
      <c r="D802" s="139"/>
      <c r="E802" s="141" t="s">
        <v>1829</v>
      </c>
      <c r="F802" s="141" t="s">
        <v>1756</v>
      </c>
      <c r="G802" s="154" t="str">
        <f t="shared" si="165"/>
        <v>/</v>
      </c>
      <c r="H802" s="141" t="str">
        <f t="shared" si="166"/>
        <v>/</v>
      </c>
      <c r="I802" s="139" t="e">
        <f t="shared" si="160"/>
        <v>#NUM!</v>
      </c>
      <c r="J802" s="139" t="e">
        <f t="shared" si="161"/>
        <v>#NUM!</v>
      </c>
      <c r="K802" s="155">
        <f t="shared" si="164"/>
        <v>-1</v>
      </c>
      <c r="N802" s="139">
        <f t="shared" si="162"/>
        <v>0</v>
      </c>
      <c r="O802" s="139">
        <f t="shared" si="163"/>
        <v>1</v>
      </c>
      <c r="P802" s="155"/>
      <c r="Q802" s="186"/>
      <c r="R802" s="186" t="s">
        <v>873</v>
      </c>
      <c r="S802" s="139"/>
      <c r="V802" s="139"/>
    </row>
    <row r="803" spans="4:22">
      <c r="D803" s="139"/>
      <c r="E803" s="141" t="s">
        <v>1829</v>
      </c>
      <c r="F803" s="141" t="s">
        <v>1756</v>
      </c>
      <c r="G803" s="154" t="str">
        <f t="shared" si="165"/>
        <v>/</v>
      </c>
      <c r="H803" s="141" t="str">
        <f t="shared" si="166"/>
        <v>/</v>
      </c>
      <c r="I803" s="139" t="e">
        <f t="shared" si="160"/>
        <v>#NUM!</v>
      </c>
      <c r="J803" s="139" t="e">
        <f t="shared" si="161"/>
        <v>#NUM!</v>
      </c>
      <c r="K803" s="155">
        <f t="shared" si="164"/>
        <v>-1</v>
      </c>
      <c r="N803" s="139">
        <f t="shared" si="162"/>
        <v>0</v>
      </c>
      <c r="O803" s="139">
        <f t="shared" si="163"/>
        <v>1</v>
      </c>
      <c r="P803" s="155"/>
      <c r="Q803" s="186"/>
      <c r="R803" s="186" t="s">
        <v>873</v>
      </c>
      <c r="S803" s="139"/>
      <c r="V803" s="139"/>
    </row>
    <row r="804" spans="4:22">
      <c r="D804" s="139"/>
      <c r="E804" s="141" t="s">
        <v>1829</v>
      </c>
      <c r="F804" s="141" t="s">
        <v>1756</v>
      </c>
      <c r="G804" s="154" t="str">
        <f t="shared" si="165"/>
        <v>/</v>
      </c>
      <c r="H804" s="141" t="str">
        <f t="shared" si="166"/>
        <v>/</v>
      </c>
      <c r="I804" s="139" t="e">
        <f t="shared" si="160"/>
        <v>#NUM!</v>
      </c>
      <c r="J804" s="139" t="e">
        <f t="shared" si="161"/>
        <v>#NUM!</v>
      </c>
      <c r="K804" s="155">
        <f t="shared" si="164"/>
        <v>-1</v>
      </c>
      <c r="N804" s="139">
        <f t="shared" si="162"/>
        <v>0</v>
      </c>
      <c r="O804" s="139">
        <f t="shared" si="163"/>
        <v>1</v>
      </c>
      <c r="P804" s="155"/>
      <c r="Q804" s="186"/>
      <c r="R804" s="186" t="s">
        <v>873</v>
      </c>
      <c r="S804" s="139"/>
      <c r="V804" s="139"/>
    </row>
    <row r="805" spans="4:22">
      <c r="D805" s="139"/>
      <c r="E805" s="141" t="s">
        <v>1829</v>
      </c>
      <c r="F805" s="141" t="s">
        <v>1756</v>
      </c>
      <c r="G805" s="154" t="str">
        <f t="shared" si="165"/>
        <v>/</v>
      </c>
      <c r="H805" s="141" t="str">
        <f t="shared" si="166"/>
        <v>/</v>
      </c>
      <c r="I805" s="139" t="e">
        <f t="shared" si="160"/>
        <v>#NUM!</v>
      </c>
      <c r="J805" s="139" t="e">
        <f t="shared" si="161"/>
        <v>#NUM!</v>
      </c>
      <c r="K805" s="155">
        <f t="shared" si="164"/>
        <v>-1</v>
      </c>
      <c r="N805" s="139">
        <f t="shared" si="162"/>
        <v>0</v>
      </c>
      <c r="O805" s="139">
        <f t="shared" si="163"/>
        <v>1</v>
      </c>
      <c r="P805" s="155"/>
      <c r="Q805" s="186"/>
      <c r="R805" s="186" t="s">
        <v>873</v>
      </c>
      <c r="S805" s="139"/>
      <c r="V805" s="139"/>
    </row>
    <row r="806" spans="4:22">
      <c r="D806" s="139"/>
      <c r="E806" s="141" t="s">
        <v>1829</v>
      </c>
      <c r="F806" s="141" t="s">
        <v>1756</v>
      </c>
      <c r="G806" s="154" t="str">
        <f t="shared" si="165"/>
        <v>/</v>
      </c>
      <c r="H806" s="141" t="str">
        <f t="shared" si="166"/>
        <v>/</v>
      </c>
      <c r="I806" s="139" t="e">
        <f t="shared" si="160"/>
        <v>#NUM!</v>
      </c>
      <c r="J806" s="139" t="e">
        <f t="shared" si="161"/>
        <v>#NUM!</v>
      </c>
      <c r="K806" s="155">
        <f t="shared" si="164"/>
        <v>-1</v>
      </c>
      <c r="N806" s="139">
        <f t="shared" si="162"/>
        <v>0</v>
      </c>
      <c r="O806" s="139">
        <f t="shared" si="163"/>
        <v>1</v>
      </c>
      <c r="P806" s="155"/>
      <c r="Q806" s="186"/>
      <c r="R806" s="186" t="s">
        <v>873</v>
      </c>
      <c r="S806" s="139"/>
      <c r="V806" s="139"/>
    </row>
    <row r="807" spans="4:22">
      <c r="D807" s="139"/>
      <c r="E807" s="141" t="s">
        <v>1829</v>
      </c>
      <c r="F807" s="141" t="s">
        <v>1756</v>
      </c>
      <c r="G807" s="154" t="str">
        <f t="shared" si="165"/>
        <v>/</v>
      </c>
      <c r="H807" s="141" t="str">
        <f t="shared" si="166"/>
        <v>/</v>
      </c>
      <c r="I807" s="139" t="e">
        <f t="shared" si="160"/>
        <v>#NUM!</v>
      </c>
      <c r="J807" s="139" t="e">
        <f t="shared" si="161"/>
        <v>#NUM!</v>
      </c>
      <c r="K807" s="155">
        <f t="shared" si="164"/>
        <v>-1</v>
      </c>
      <c r="N807" s="139">
        <f t="shared" si="162"/>
        <v>0</v>
      </c>
      <c r="O807" s="139">
        <f t="shared" si="163"/>
        <v>1</v>
      </c>
      <c r="P807" s="155"/>
      <c r="Q807" s="186"/>
      <c r="R807" s="186" t="s">
        <v>873</v>
      </c>
      <c r="S807" s="139"/>
      <c r="V807" s="139"/>
    </row>
    <row r="808" spans="4:22">
      <c r="D808" s="139"/>
      <c r="E808" s="141" t="s">
        <v>1829</v>
      </c>
      <c r="F808" s="141" t="s">
        <v>1756</v>
      </c>
      <c r="G808" s="154" t="str">
        <f t="shared" si="165"/>
        <v>/</v>
      </c>
      <c r="H808" s="141" t="str">
        <f t="shared" si="166"/>
        <v>/</v>
      </c>
      <c r="I808" s="139" t="e">
        <f t="shared" si="160"/>
        <v>#NUM!</v>
      </c>
      <c r="J808" s="139" t="e">
        <f t="shared" si="161"/>
        <v>#NUM!</v>
      </c>
      <c r="K808" s="155">
        <f t="shared" si="164"/>
        <v>-1</v>
      </c>
      <c r="N808" s="139">
        <f t="shared" si="162"/>
        <v>0</v>
      </c>
      <c r="O808" s="139">
        <f t="shared" si="163"/>
        <v>1</v>
      </c>
      <c r="P808" s="155"/>
      <c r="Q808" s="186"/>
      <c r="R808" s="186" t="s">
        <v>873</v>
      </c>
      <c r="S808" s="139"/>
      <c r="V808" s="139"/>
    </row>
    <row r="809" spans="4:22">
      <c r="D809" s="139"/>
      <c r="E809" s="141" t="s">
        <v>1829</v>
      </c>
      <c r="F809" s="141" t="s">
        <v>1756</v>
      </c>
      <c r="G809" s="154" t="str">
        <f t="shared" si="165"/>
        <v>/</v>
      </c>
      <c r="H809" s="141" t="str">
        <f t="shared" si="166"/>
        <v>/</v>
      </c>
      <c r="I809" s="139" t="e">
        <f t="shared" si="160"/>
        <v>#NUM!</v>
      </c>
      <c r="J809" s="139" t="e">
        <f t="shared" si="161"/>
        <v>#NUM!</v>
      </c>
      <c r="K809" s="155">
        <f t="shared" si="164"/>
        <v>-1</v>
      </c>
      <c r="N809" s="139">
        <f t="shared" si="162"/>
        <v>0</v>
      </c>
      <c r="O809" s="139">
        <f t="shared" si="163"/>
        <v>1</v>
      </c>
      <c r="P809" s="155"/>
      <c r="Q809" s="186"/>
      <c r="R809" s="186" t="s">
        <v>873</v>
      </c>
      <c r="S809" s="139"/>
      <c r="V809" s="139"/>
    </row>
    <row r="810" spans="4:22">
      <c r="D810" s="139"/>
      <c r="E810" s="141" t="s">
        <v>1829</v>
      </c>
      <c r="F810" s="141" t="s">
        <v>1756</v>
      </c>
      <c r="G810" s="154" t="str">
        <f t="shared" si="165"/>
        <v>/</v>
      </c>
      <c r="H810" s="141" t="str">
        <f t="shared" si="166"/>
        <v>/</v>
      </c>
      <c r="I810" s="139" t="e">
        <f t="shared" si="160"/>
        <v>#NUM!</v>
      </c>
      <c r="J810" s="139" t="e">
        <f t="shared" si="161"/>
        <v>#NUM!</v>
      </c>
      <c r="K810" s="155">
        <f t="shared" si="164"/>
        <v>-1</v>
      </c>
      <c r="N810" s="139">
        <f t="shared" si="162"/>
        <v>0</v>
      </c>
      <c r="O810" s="139">
        <f t="shared" si="163"/>
        <v>1</v>
      </c>
      <c r="P810" s="155"/>
      <c r="Q810" s="186"/>
      <c r="R810" s="186" t="s">
        <v>873</v>
      </c>
      <c r="S810" s="139"/>
      <c r="V810" s="139"/>
    </row>
    <row r="811" spans="4:22">
      <c r="D811" s="139"/>
      <c r="E811" s="141" t="s">
        <v>1829</v>
      </c>
      <c r="F811" s="141" t="s">
        <v>1756</v>
      </c>
      <c r="G811" s="154" t="str">
        <f t="shared" si="165"/>
        <v>/</v>
      </c>
      <c r="H811" s="141" t="str">
        <f t="shared" si="166"/>
        <v>/</v>
      </c>
      <c r="I811" s="139" t="e">
        <f t="shared" si="160"/>
        <v>#NUM!</v>
      </c>
      <c r="J811" s="139" t="e">
        <f t="shared" si="161"/>
        <v>#NUM!</v>
      </c>
      <c r="K811" s="155">
        <f t="shared" si="164"/>
        <v>-1</v>
      </c>
      <c r="N811" s="139">
        <f t="shared" si="162"/>
        <v>0</v>
      </c>
      <c r="O811" s="139">
        <f t="shared" si="163"/>
        <v>1</v>
      </c>
      <c r="P811" s="155"/>
      <c r="Q811" s="186"/>
      <c r="R811" s="186" t="s">
        <v>873</v>
      </c>
      <c r="S811" s="139"/>
      <c r="V811" s="139"/>
    </row>
    <row r="812" spans="4:22">
      <c r="D812" s="139"/>
      <c r="E812" s="141" t="s">
        <v>1829</v>
      </c>
      <c r="F812" s="141" t="s">
        <v>1756</v>
      </c>
      <c r="G812" s="154" t="str">
        <f t="shared" si="165"/>
        <v>/</v>
      </c>
      <c r="H812" s="141" t="str">
        <f t="shared" si="166"/>
        <v>/</v>
      </c>
      <c r="I812" s="139" t="e">
        <f t="shared" si="160"/>
        <v>#NUM!</v>
      </c>
      <c r="J812" s="139" t="e">
        <f t="shared" si="161"/>
        <v>#NUM!</v>
      </c>
      <c r="K812" s="155">
        <f t="shared" si="164"/>
        <v>-1</v>
      </c>
      <c r="N812" s="139">
        <f t="shared" si="162"/>
        <v>0</v>
      </c>
      <c r="O812" s="139">
        <f t="shared" si="163"/>
        <v>1</v>
      </c>
      <c r="P812" s="155"/>
      <c r="Q812" s="186"/>
      <c r="R812" s="186" t="s">
        <v>873</v>
      </c>
      <c r="S812" s="139"/>
      <c r="V812" s="139"/>
    </row>
    <row r="813" spans="4:22">
      <c r="D813" s="139"/>
      <c r="E813" s="141" t="s">
        <v>1829</v>
      </c>
      <c r="F813" s="141" t="s">
        <v>1756</v>
      </c>
      <c r="G813" s="154" t="str">
        <f t="shared" si="165"/>
        <v>/</v>
      </c>
      <c r="H813" s="141" t="str">
        <f t="shared" si="166"/>
        <v>/</v>
      </c>
      <c r="I813" s="139" t="e">
        <f t="shared" si="160"/>
        <v>#NUM!</v>
      </c>
      <c r="J813" s="139" t="e">
        <f t="shared" si="161"/>
        <v>#NUM!</v>
      </c>
      <c r="K813" s="155">
        <f t="shared" si="164"/>
        <v>-1</v>
      </c>
      <c r="N813" s="139">
        <f t="shared" si="162"/>
        <v>0</v>
      </c>
      <c r="O813" s="139">
        <f t="shared" si="163"/>
        <v>1</v>
      </c>
      <c r="P813" s="155"/>
      <c r="Q813" s="186"/>
      <c r="R813" s="186" t="s">
        <v>873</v>
      </c>
      <c r="S813" s="139"/>
      <c r="V813" s="139"/>
    </row>
    <row r="814" spans="4:22">
      <c r="D814" s="139"/>
      <c r="E814" s="141" t="s">
        <v>1829</v>
      </c>
      <c r="F814" s="141" t="s">
        <v>1756</v>
      </c>
      <c r="G814" s="154" t="str">
        <f t="shared" si="165"/>
        <v>/</v>
      </c>
      <c r="H814" s="141" t="str">
        <f t="shared" si="166"/>
        <v>/</v>
      </c>
      <c r="I814" s="139" t="e">
        <f t="shared" si="160"/>
        <v>#NUM!</v>
      </c>
      <c r="J814" s="139" t="e">
        <f t="shared" si="161"/>
        <v>#NUM!</v>
      </c>
      <c r="K814" s="155">
        <f t="shared" si="164"/>
        <v>-1</v>
      </c>
      <c r="N814" s="139">
        <f t="shared" si="162"/>
        <v>0</v>
      </c>
      <c r="O814" s="139">
        <f t="shared" si="163"/>
        <v>1</v>
      </c>
      <c r="P814" s="155"/>
      <c r="Q814" s="186"/>
      <c r="R814" s="186" t="s">
        <v>873</v>
      </c>
      <c r="S814" s="139"/>
      <c r="V814" s="139"/>
    </row>
    <row r="815" spans="4:22">
      <c r="D815" s="139"/>
      <c r="E815" s="141" t="s">
        <v>1829</v>
      </c>
      <c r="F815" s="141" t="s">
        <v>1756</v>
      </c>
      <c r="G815" s="154" t="str">
        <f t="shared" si="165"/>
        <v>/</v>
      </c>
      <c r="H815" s="141" t="str">
        <f t="shared" si="166"/>
        <v>/</v>
      </c>
      <c r="I815" s="139" t="e">
        <f t="shared" si="160"/>
        <v>#NUM!</v>
      </c>
      <c r="J815" s="139" t="e">
        <f t="shared" si="161"/>
        <v>#NUM!</v>
      </c>
      <c r="K815" s="155">
        <f t="shared" si="164"/>
        <v>-1</v>
      </c>
      <c r="N815" s="139">
        <f t="shared" si="162"/>
        <v>0</v>
      </c>
      <c r="O815" s="139">
        <f t="shared" si="163"/>
        <v>1</v>
      </c>
      <c r="P815" s="155"/>
      <c r="Q815" s="186"/>
      <c r="R815" s="186" t="s">
        <v>873</v>
      </c>
      <c r="S815" s="139"/>
      <c r="V815" s="139"/>
    </row>
    <row r="816" spans="4:22">
      <c r="D816" s="139"/>
      <c r="E816" s="141" t="s">
        <v>1829</v>
      </c>
      <c r="F816" s="141" t="s">
        <v>1756</v>
      </c>
      <c r="G816" s="154" t="str">
        <f t="shared" si="165"/>
        <v>/</v>
      </c>
      <c r="H816" s="141" t="str">
        <f t="shared" si="166"/>
        <v>/</v>
      </c>
      <c r="I816" s="139" t="e">
        <f t="shared" si="160"/>
        <v>#NUM!</v>
      </c>
      <c r="J816" s="139" t="e">
        <f t="shared" si="161"/>
        <v>#NUM!</v>
      </c>
      <c r="K816" s="155">
        <f t="shared" si="164"/>
        <v>-1</v>
      </c>
      <c r="N816" s="139">
        <f t="shared" si="162"/>
        <v>0</v>
      </c>
      <c r="O816" s="139">
        <f t="shared" si="163"/>
        <v>1</v>
      </c>
      <c r="P816" s="155"/>
      <c r="Q816" s="186"/>
      <c r="R816" s="186" t="s">
        <v>873</v>
      </c>
      <c r="S816" s="139"/>
      <c r="V816" s="139"/>
    </row>
    <row r="817" spans="4:22">
      <c r="D817" s="139"/>
      <c r="E817" s="141" t="s">
        <v>1829</v>
      </c>
      <c r="F817" s="141" t="s">
        <v>1756</v>
      </c>
      <c r="G817" s="154" t="str">
        <f t="shared" si="165"/>
        <v>/</v>
      </c>
      <c r="H817" s="141" t="str">
        <f t="shared" si="166"/>
        <v>/</v>
      </c>
      <c r="I817" s="139" t="e">
        <f t="shared" si="160"/>
        <v>#NUM!</v>
      </c>
      <c r="J817" s="139" t="e">
        <f t="shared" si="161"/>
        <v>#NUM!</v>
      </c>
      <c r="K817" s="155">
        <f t="shared" si="164"/>
        <v>-1</v>
      </c>
      <c r="N817" s="139">
        <f t="shared" si="162"/>
        <v>0</v>
      </c>
      <c r="O817" s="139">
        <f t="shared" si="163"/>
        <v>1</v>
      </c>
      <c r="P817" s="155"/>
      <c r="Q817" s="186"/>
      <c r="R817" s="186" t="s">
        <v>873</v>
      </c>
      <c r="S817" s="139"/>
      <c r="V817" s="139"/>
    </row>
    <row r="818" spans="4:22">
      <c r="D818" s="139"/>
      <c r="E818" s="141" t="s">
        <v>1829</v>
      </c>
      <c r="F818" s="141" t="s">
        <v>1756</v>
      </c>
      <c r="G818" s="154" t="str">
        <f t="shared" si="165"/>
        <v>/</v>
      </c>
      <c r="H818" s="141" t="str">
        <f t="shared" si="166"/>
        <v>/</v>
      </c>
      <c r="I818" s="139" t="e">
        <f t="shared" si="160"/>
        <v>#NUM!</v>
      </c>
      <c r="J818" s="139" t="e">
        <f t="shared" si="161"/>
        <v>#NUM!</v>
      </c>
      <c r="K818" s="155">
        <f t="shared" si="164"/>
        <v>-1</v>
      </c>
      <c r="N818" s="139">
        <f t="shared" si="162"/>
        <v>0</v>
      </c>
      <c r="O818" s="139">
        <f t="shared" si="163"/>
        <v>1</v>
      </c>
      <c r="P818" s="155"/>
      <c r="Q818" s="186"/>
      <c r="R818" s="186" t="s">
        <v>873</v>
      </c>
      <c r="S818" s="139"/>
      <c r="V818" s="139"/>
    </row>
    <row r="819" spans="4:22">
      <c r="D819" s="139"/>
      <c r="E819" s="141" t="s">
        <v>1829</v>
      </c>
      <c r="F819" s="141" t="s">
        <v>1756</v>
      </c>
      <c r="G819" s="154" t="str">
        <f t="shared" si="165"/>
        <v>/</v>
      </c>
      <c r="H819" s="141" t="str">
        <f t="shared" si="166"/>
        <v>/</v>
      </c>
      <c r="I819" s="139" t="e">
        <f t="shared" ref="I819:I882" si="167">DAY(K819)</f>
        <v>#NUM!</v>
      </c>
      <c r="J819" s="139" t="e">
        <f t="shared" ref="J819:J882" si="168">MONTH(K819)</f>
        <v>#NUM!</v>
      </c>
      <c r="K819" s="155">
        <f t="shared" si="164"/>
        <v>-1</v>
      </c>
      <c r="N819" s="139">
        <f t="shared" ref="N819:N882" si="169">DAY(P819)</f>
        <v>0</v>
      </c>
      <c r="O819" s="139">
        <f t="shared" ref="O819:O882" si="170">MONTH(P819)</f>
        <v>1</v>
      </c>
      <c r="P819" s="155"/>
      <c r="Q819" s="186"/>
      <c r="R819" s="186" t="s">
        <v>873</v>
      </c>
      <c r="S819" s="139"/>
      <c r="V819" s="139"/>
    </row>
    <row r="820" spans="4:22">
      <c r="D820" s="139"/>
      <c r="E820" s="141" t="s">
        <v>1829</v>
      </c>
      <c r="F820" s="141" t="s">
        <v>1756</v>
      </c>
      <c r="G820" s="154" t="str">
        <f t="shared" si="165"/>
        <v>/</v>
      </c>
      <c r="H820" s="141" t="str">
        <f t="shared" si="166"/>
        <v>/</v>
      </c>
      <c r="I820" s="139" t="e">
        <f t="shared" si="167"/>
        <v>#NUM!</v>
      </c>
      <c r="J820" s="139" t="e">
        <f t="shared" si="168"/>
        <v>#NUM!</v>
      </c>
      <c r="K820" s="155">
        <f t="shared" si="164"/>
        <v>-1</v>
      </c>
      <c r="N820" s="139">
        <f t="shared" si="169"/>
        <v>0</v>
      </c>
      <c r="O820" s="139">
        <f t="shared" si="170"/>
        <v>1</v>
      </c>
      <c r="P820" s="155"/>
      <c r="Q820" s="186"/>
      <c r="R820" s="186" t="s">
        <v>873</v>
      </c>
      <c r="S820" s="139"/>
      <c r="V820" s="139"/>
    </row>
    <row r="821" spans="4:22">
      <c r="D821" s="139"/>
      <c r="E821" s="141" t="s">
        <v>1829</v>
      </c>
      <c r="F821" s="141" t="s">
        <v>1756</v>
      </c>
      <c r="G821" s="154" t="str">
        <f t="shared" si="165"/>
        <v>/</v>
      </c>
      <c r="H821" s="141" t="str">
        <f t="shared" si="166"/>
        <v>/</v>
      </c>
      <c r="I821" s="139" t="e">
        <f t="shared" si="167"/>
        <v>#NUM!</v>
      </c>
      <c r="J821" s="139" t="e">
        <f t="shared" si="168"/>
        <v>#NUM!</v>
      </c>
      <c r="K821" s="155">
        <f t="shared" si="164"/>
        <v>-1</v>
      </c>
      <c r="N821" s="139">
        <f t="shared" si="169"/>
        <v>0</v>
      </c>
      <c r="O821" s="139">
        <f t="shared" si="170"/>
        <v>1</v>
      </c>
      <c r="P821" s="155"/>
      <c r="Q821" s="186"/>
      <c r="R821" s="186" t="s">
        <v>873</v>
      </c>
      <c r="S821" s="139"/>
      <c r="V821" s="139"/>
    </row>
    <row r="822" spans="4:22">
      <c r="D822" s="139"/>
      <c r="E822" s="141" t="s">
        <v>1829</v>
      </c>
      <c r="F822" s="141" t="s">
        <v>1756</v>
      </c>
      <c r="G822" s="154" t="str">
        <f t="shared" si="165"/>
        <v>/</v>
      </c>
      <c r="H822" s="141" t="str">
        <f t="shared" si="166"/>
        <v>/</v>
      </c>
      <c r="I822" s="139" t="e">
        <f t="shared" si="167"/>
        <v>#NUM!</v>
      </c>
      <c r="J822" s="139" t="e">
        <f t="shared" si="168"/>
        <v>#NUM!</v>
      </c>
      <c r="K822" s="155">
        <f t="shared" si="164"/>
        <v>-1</v>
      </c>
      <c r="N822" s="139">
        <f t="shared" si="169"/>
        <v>0</v>
      </c>
      <c r="O822" s="139">
        <f t="shared" si="170"/>
        <v>1</v>
      </c>
      <c r="P822" s="155"/>
      <c r="Q822" s="186"/>
      <c r="R822" s="186" t="s">
        <v>873</v>
      </c>
      <c r="S822" s="139"/>
      <c r="V822" s="139"/>
    </row>
    <row r="823" spans="4:22">
      <c r="D823" s="139"/>
      <c r="E823" s="141" t="s">
        <v>1829</v>
      </c>
      <c r="F823" s="141" t="s">
        <v>1756</v>
      </c>
      <c r="G823" s="154" t="str">
        <f t="shared" si="165"/>
        <v>/</v>
      </c>
      <c r="H823" s="141" t="str">
        <f t="shared" si="166"/>
        <v>/</v>
      </c>
      <c r="I823" s="139" t="e">
        <f t="shared" si="167"/>
        <v>#NUM!</v>
      </c>
      <c r="J823" s="139" t="e">
        <f t="shared" si="168"/>
        <v>#NUM!</v>
      </c>
      <c r="K823" s="155">
        <f t="shared" si="164"/>
        <v>-1</v>
      </c>
      <c r="N823" s="139">
        <f t="shared" si="169"/>
        <v>0</v>
      </c>
      <c r="O823" s="139">
        <f t="shared" si="170"/>
        <v>1</v>
      </c>
      <c r="P823" s="155"/>
      <c r="Q823" s="186"/>
      <c r="R823" s="186" t="s">
        <v>873</v>
      </c>
      <c r="S823" s="139"/>
      <c r="V823" s="139"/>
    </row>
    <row r="824" spans="4:22">
      <c r="D824" s="139"/>
      <c r="E824" s="141" t="s">
        <v>1829</v>
      </c>
      <c r="F824" s="141" t="s">
        <v>1756</v>
      </c>
      <c r="G824" s="154" t="str">
        <f t="shared" si="165"/>
        <v>/</v>
      </c>
      <c r="H824" s="141" t="str">
        <f t="shared" si="166"/>
        <v>/</v>
      </c>
      <c r="I824" s="139" t="e">
        <f t="shared" si="167"/>
        <v>#NUM!</v>
      </c>
      <c r="J824" s="139" t="e">
        <f t="shared" si="168"/>
        <v>#NUM!</v>
      </c>
      <c r="K824" s="155">
        <f t="shared" si="164"/>
        <v>-1</v>
      </c>
      <c r="N824" s="139">
        <f t="shared" si="169"/>
        <v>0</v>
      </c>
      <c r="O824" s="139">
        <f t="shared" si="170"/>
        <v>1</v>
      </c>
      <c r="P824" s="155"/>
      <c r="Q824" s="186"/>
      <c r="R824" s="186" t="s">
        <v>873</v>
      </c>
      <c r="S824" s="139"/>
      <c r="V824" s="139"/>
    </row>
    <row r="825" spans="4:22">
      <c r="D825" s="139"/>
      <c r="E825" s="141" t="s">
        <v>1829</v>
      </c>
      <c r="F825" s="141" t="s">
        <v>1756</v>
      </c>
      <c r="G825" s="154" t="str">
        <f t="shared" si="165"/>
        <v>/</v>
      </c>
      <c r="H825" s="141" t="str">
        <f t="shared" si="166"/>
        <v>/</v>
      </c>
      <c r="I825" s="139" t="e">
        <f t="shared" si="167"/>
        <v>#NUM!</v>
      </c>
      <c r="J825" s="139" t="e">
        <f t="shared" si="168"/>
        <v>#NUM!</v>
      </c>
      <c r="K825" s="155">
        <f t="shared" si="164"/>
        <v>-1</v>
      </c>
      <c r="N825" s="139">
        <f t="shared" si="169"/>
        <v>0</v>
      </c>
      <c r="O825" s="139">
        <f t="shared" si="170"/>
        <v>1</v>
      </c>
      <c r="P825" s="155"/>
      <c r="Q825" s="186"/>
      <c r="R825" s="186" t="s">
        <v>873</v>
      </c>
      <c r="S825" s="139"/>
      <c r="V825" s="139"/>
    </row>
    <row r="826" spans="4:22">
      <c r="D826" s="139"/>
      <c r="E826" s="141" t="s">
        <v>1829</v>
      </c>
      <c r="F826" s="141" t="s">
        <v>1756</v>
      </c>
      <c r="G826" s="154" t="str">
        <f t="shared" si="165"/>
        <v>/</v>
      </c>
      <c r="H826" s="141" t="str">
        <f t="shared" si="166"/>
        <v>/</v>
      </c>
      <c r="I826" s="139" t="e">
        <f t="shared" si="167"/>
        <v>#NUM!</v>
      </c>
      <c r="J826" s="139" t="e">
        <f t="shared" si="168"/>
        <v>#NUM!</v>
      </c>
      <c r="K826" s="155">
        <f t="shared" ref="K826:K889" si="171">P826-1</f>
        <v>-1</v>
      </c>
      <c r="N826" s="139">
        <f t="shared" si="169"/>
        <v>0</v>
      </c>
      <c r="O826" s="139">
        <f t="shared" si="170"/>
        <v>1</v>
      </c>
      <c r="P826" s="155"/>
      <c r="Q826" s="186"/>
      <c r="R826" s="186" t="s">
        <v>873</v>
      </c>
      <c r="S826" s="139"/>
      <c r="V826" s="139"/>
    </row>
    <row r="827" spans="4:22">
      <c r="D827" s="139"/>
      <c r="E827" s="141" t="s">
        <v>1829</v>
      </c>
      <c r="F827" s="141" t="s">
        <v>1756</v>
      </c>
      <c r="G827" s="154" t="str">
        <f t="shared" si="165"/>
        <v>/</v>
      </c>
      <c r="H827" s="141" t="str">
        <f t="shared" si="166"/>
        <v>/</v>
      </c>
      <c r="I827" s="139" t="e">
        <f t="shared" si="167"/>
        <v>#NUM!</v>
      </c>
      <c r="J827" s="139" t="e">
        <f t="shared" si="168"/>
        <v>#NUM!</v>
      </c>
      <c r="K827" s="155">
        <f t="shared" si="171"/>
        <v>-1</v>
      </c>
      <c r="N827" s="139">
        <f t="shared" si="169"/>
        <v>0</v>
      </c>
      <c r="O827" s="139">
        <f t="shared" si="170"/>
        <v>1</v>
      </c>
      <c r="P827" s="155"/>
      <c r="Q827" s="186"/>
      <c r="R827" s="186" t="s">
        <v>873</v>
      </c>
      <c r="S827" s="139"/>
      <c r="V827" s="139"/>
    </row>
    <row r="828" spans="4:22">
      <c r="D828" s="139"/>
      <c r="E828" s="141" t="s">
        <v>1829</v>
      </c>
      <c r="F828" s="141" t="s">
        <v>1756</v>
      </c>
      <c r="G828" s="154" t="str">
        <f t="shared" si="165"/>
        <v>/</v>
      </c>
      <c r="H828" s="141" t="str">
        <f t="shared" si="166"/>
        <v>/</v>
      </c>
      <c r="I828" s="139" t="e">
        <f t="shared" si="167"/>
        <v>#NUM!</v>
      </c>
      <c r="J828" s="139" t="e">
        <f t="shared" si="168"/>
        <v>#NUM!</v>
      </c>
      <c r="K828" s="155">
        <f t="shared" si="171"/>
        <v>-1</v>
      </c>
      <c r="N828" s="139">
        <f t="shared" si="169"/>
        <v>0</v>
      </c>
      <c r="O828" s="139">
        <f t="shared" si="170"/>
        <v>1</v>
      </c>
      <c r="P828" s="155"/>
      <c r="Q828" s="186"/>
      <c r="R828" s="186" t="s">
        <v>873</v>
      </c>
      <c r="S828" s="139"/>
      <c r="V828" s="139"/>
    </row>
    <row r="829" spans="4:22">
      <c r="D829" s="139"/>
      <c r="E829" s="141" t="s">
        <v>1829</v>
      </c>
      <c r="F829" s="141" t="s">
        <v>1756</v>
      </c>
      <c r="G829" s="154" t="str">
        <f t="shared" si="165"/>
        <v>/</v>
      </c>
      <c r="H829" s="141" t="str">
        <f t="shared" si="166"/>
        <v>/</v>
      </c>
      <c r="I829" s="139" t="e">
        <f t="shared" si="167"/>
        <v>#NUM!</v>
      </c>
      <c r="J829" s="139" t="e">
        <f t="shared" si="168"/>
        <v>#NUM!</v>
      </c>
      <c r="K829" s="155">
        <f t="shared" si="171"/>
        <v>-1</v>
      </c>
      <c r="N829" s="139">
        <f t="shared" si="169"/>
        <v>0</v>
      </c>
      <c r="O829" s="139">
        <f t="shared" si="170"/>
        <v>1</v>
      </c>
      <c r="P829" s="155"/>
      <c r="Q829" s="186"/>
      <c r="R829" s="186" t="s">
        <v>873</v>
      </c>
      <c r="S829" s="139"/>
      <c r="V829" s="139"/>
    </row>
    <row r="830" spans="4:22">
      <c r="D830" s="139"/>
      <c r="E830" s="141" t="s">
        <v>1829</v>
      </c>
      <c r="F830" s="141" t="s">
        <v>1756</v>
      </c>
      <c r="G830" s="154" t="str">
        <f t="shared" si="165"/>
        <v>/</v>
      </c>
      <c r="H830" s="141" t="str">
        <f t="shared" si="166"/>
        <v>/</v>
      </c>
      <c r="I830" s="139" t="e">
        <f t="shared" si="167"/>
        <v>#NUM!</v>
      </c>
      <c r="J830" s="139" t="e">
        <f t="shared" si="168"/>
        <v>#NUM!</v>
      </c>
      <c r="K830" s="155">
        <f t="shared" si="171"/>
        <v>-1</v>
      </c>
      <c r="N830" s="139">
        <f t="shared" si="169"/>
        <v>0</v>
      </c>
      <c r="O830" s="139">
        <f t="shared" si="170"/>
        <v>1</v>
      </c>
      <c r="P830" s="155"/>
      <c r="Q830" s="186"/>
      <c r="R830" s="186" t="s">
        <v>873</v>
      </c>
      <c r="S830" s="139"/>
      <c r="V830" s="139"/>
    </row>
    <row r="831" spans="4:22">
      <c r="D831" s="139"/>
      <c r="E831" s="141" t="s">
        <v>1829</v>
      </c>
      <c r="F831" s="141" t="s">
        <v>1756</v>
      </c>
      <c r="G831" s="154" t="str">
        <f t="shared" si="165"/>
        <v>/</v>
      </c>
      <c r="H831" s="141" t="str">
        <f t="shared" si="166"/>
        <v>/</v>
      </c>
      <c r="I831" s="139" t="e">
        <f t="shared" si="167"/>
        <v>#NUM!</v>
      </c>
      <c r="J831" s="139" t="e">
        <f t="shared" si="168"/>
        <v>#NUM!</v>
      </c>
      <c r="K831" s="155">
        <f t="shared" si="171"/>
        <v>-1</v>
      </c>
      <c r="N831" s="139">
        <f t="shared" si="169"/>
        <v>0</v>
      </c>
      <c r="O831" s="139">
        <f t="shared" si="170"/>
        <v>1</v>
      </c>
      <c r="P831" s="155"/>
      <c r="Q831" s="186"/>
      <c r="R831" s="186" t="s">
        <v>873</v>
      </c>
      <c r="S831" s="139"/>
      <c r="V831" s="139"/>
    </row>
    <row r="832" spans="4:22">
      <c r="D832" s="139"/>
      <c r="E832" s="141" t="s">
        <v>1829</v>
      </c>
      <c r="F832" s="141" t="s">
        <v>1756</v>
      </c>
      <c r="G832" s="154" t="str">
        <f t="shared" si="165"/>
        <v>/</v>
      </c>
      <c r="H832" s="141" t="str">
        <f t="shared" si="166"/>
        <v>/</v>
      </c>
      <c r="I832" s="139" t="e">
        <f t="shared" si="167"/>
        <v>#NUM!</v>
      </c>
      <c r="J832" s="139" t="e">
        <f t="shared" si="168"/>
        <v>#NUM!</v>
      </c>
      <c r="K832" s="155">
        <f t="shared" si="171"/>
        <v>-1</v>
      </c>
      <c r="N832" s="139">
        <f t="shared" si="169"/>
        <v>0</v>
      </c>
      <c r="O832" s="139">
        <f t="shared" si="170"/>
        <v>1</v>
      </c>
      <c r="P832" s="155"/>
      <c r="Q832" s="186"/>
      <c r="R832" s="186" t="s">
        <v>873</v>
      </c>
      <c r="S832" s="139"/>
      <c r="V832" s="139"/>
    </row>
    <row r="833" spans="4:22">
      <c r="D833" s="139"/>
      <c r="E833" s="141" t="s">
        <v>1829</v>
      </c>
      <c r="F833" s="141" t="s">
        <v>1756</v>
      </c>
      <c r="G833" s="154" t="str">
        <f t="shared" ref="G833:G896" si="172">A833&amp;"/"&amp;B833</f>
        <v>/</v>
      </c>
      <c r="H833" s="141" t="str">
        <f t="shared" ref="H833:H896" si="173">A833&amp;"/"&amp;B833</f>
        <v>/</v>
      </c>
      <c r="I833" s="139" t="e">
        <f t="shared" si="167"/>
        <v>#NUM!</v>
      </c>
      <c r="J833" s="139" t="e">
        <f t="shared" si="168"/>
        <v>#NUM!</v>
      </c>
      <c r="K833" s="155">
        <f t="shared" si="171"/>
        <v>-1</v>
      </c>
      <c r="N833" s="139">
        <f t="shared" si="169"/>
        <v>0</v>
      </c>
      <c r="O833" s="139">
        <f t="shared" si="170"/>
        <v>1</v>
      </c>
      <c r="P833" s="155"/>
      <c r="Q833" s="186"/>
      <c r="R833" s="186" t="s">
        <v>873</v>
      </c>
      <c r="S833" s="139"/>
      <c r="V833" s="139"/>
    </row>
    <row r="834" spans="4:22">
      <c r="D834" s="139"/>
      <c r="E834" s="141" t="s">
        <v>1829</v>
      </c>
      <c r="F834" s="141" t="s">
        <v>1756</v>
      </c>
      <c r="G834" s="154" t="str">
        <f t="shared" si="172"/>
        <v>/</v>
      </c>
      <c r="H834" s="141" t="str">
        <f t="shared" si="173"/>
        <v>/</v>
      </c>
      <c r="I834" s="139" t="e">
        <f t="shared" si="167"/>
        <v>#NUM!</v>
      </c>
      <c r="J834" s="139" t="e">
        <f t="shared" si="168"/>
        <v>#NUM!</v>
      </c>
      <c r="K834" s="155">
        <f t="shared" si="171"/>
        <v>-1</v>
      </c>
      <c r="N834" s="139">
        <f t="shared" si="169"/>
        <v>0</v>
      </c>
      <c r="O834" s="139">
        <f t="shared" si="170"/>
        <v>1</v>
      </c>
      <c r="P834" s="155"/>
      <c r="Q834" s="186"/>
      <c r="R834" s="186" t="s">
        <v>873</v>
      </c>
      <c r="S834" s="139"/>
      <c r="V834" s="139"/>
    </row>
    <row r="835" spans="4:22">
      <c r="D835" s="139"/>
      <c r="E835" s="141" t="s">
        <v>1829</v>
      </c>
      <c r="F835" s="141" t="s">
        <v>1756</v>
      </c>
      <c r="G835" s="154" t="str">
        <f t="shared" si="172"/>
        <v>/</v>
      </c>
      <c r="H835" s="141" t="str">
        <f t="shared" si="173"/>
        <v>/</v>
      </c>
      <c r="I835" s="139" t="e">
        <f t="shared" si="167"/>
        <v>#NUM!</v>
      </c>
      <c r="J835" s="139" t="e">
        <f t="shared" si="168"/>
        <v>#NUM!</v>
      </c>
      <c r="K835" s="155">
        <f t="shared" si="171"/>
        <v>-1</v>
      </c>
      <c r="N835" s="139">
        <f t="shared" si="169"/>
        <v>0</v>
      </c>
      <c r="O835" s="139">
        <f t="shared" si="170"/>
        <v>1</v>
      </c>
      <c r="P835" s="155"/>
      <c r="Q835" s="186"/>
      <c r="R835" s="186" t="s">
        <v>873</v>
      </c>
      <c r="S835" s="139"/>
      <c r="V835" s="139"/>
    </row>
    <row r="836" spans="4:22">
      <c r="D836" s="139"/>
      <c r="E836" s="141" t="s">
        <v>1829</v>
      </c>
      <c r="F836" s="141" t="s">
        <v>1756</v>
      </c>
      <c r="G836" s="154" t="str">
        <f t="shared" si="172"/>
        <v>/</v>
      </c>
      <c r="H836" s="141" t="str">
        <f t="shared" si="173"/>
        <v>/</v>
      </c>
      <c r="I836" s="139" t="e">
        <f t="shared" si="167"/>
        <v>#NUM!</v>
      </c>
      <c r="J836" s="139" t="e">
        <f t="shared" si="168"/>
        <v>#NUM!</v>
      </c>
      <c r="K836" s="155">
        <f t="shared" si="171"/>
        <v>-1</v>
      </c>
      <c r="N836" s="139">
        <f t="shared" si="169"/>
        <v>0</v>
      </c>
      <c r="O836" s="139">
        <f t="shared" si="170"/>
        <v>1</v>
      </c>
      <c r="P836" s="155"/>
      <c r="Q836" s="186"/>
      <c r="R836" s="186" t="s">
        <v>873</v>
      </c>
      <c r="S836" s="139"/>
      <c r="V836" s="139"/>
    </row>
    <row r="837" spans="4:22">
      <c r="D837" s="139"/>
      <c r="E837" s="141" t="s">
        <v>1829</v>
      </c>
      <c r="F837" s="141" t="s">
        <v>1756</v>
      </c>
      <c r="G837" s="154" t="str">
        <f t="shared" si="172"/>
        <v>/</v>
      </c>
      <c r="H837" s="141" t="str">
        <f t="shared" si="173"/>
        <v>/</v>
      </c>
      <c r="I837" s="139" t="e">
        <f t="shared" si="167"/>
        <v>#NUM!</v>
      </c>
      <c r="J837" s="139" t="e">
        <f t="shared" si="168"/>
        <v>#NUM!</v>
      </c>
      <c r="K837" s="155">
        <f t="shared" si="171"/>
        <v>-1</v>
      </c>
      <c r="N837" s="139">
        <f t="shared" si="169"/>
        <v>0</v>
      </c>
      <c r="O837" s="139">
        <f t="shared" si="170"/>
        <v>1</v>
      </c>
      <c r="P837" s="155"/>
      <c r="Q837" s="186"/>
      <c r="R837" s="186" t="s">
        <v>873</v>
      </c>
      <c r="S837" s="139"/>
      <c r="V837" s="139"/>
    </row>
    <row r="838" spans="4:22">
      <c r="D838" s="139"/>
      <c r="E838" s="141" t="s">
        <v>1829</v>
      </c>
      <c r="F838" s="141" t="s">
        <v>1756</v>
      </c>
      <c r="G838" s="154" t="str">
        <f t="shared" si="172"/>
        <v>/</v>
      </c>
      <c r="H838" s="141" t="str">
        <f t="shared" si="173"/>
        <v>/</v>
      </c>
      <c r="I838" s="139" t="e">
        <f t="shared" si="167"/>
        <v>#NUM!</v>
      </c>
      <c r="J838" s="139" t="e">
        <f t="shared" si="168"/>
        <v>#NUM!</v>
      </c>
      <c r="K838" s="155">
        <f t="shared" si="171"/>
        <v>-1</v>
      </c>
      <c r="N838" s="139">
        <f t="shared" si="169"/>
        <v>0</v>
      </c>
      <c r="O838" s="139">
        <f t="shared" si="170"/>
        <v>1</v>
      </c>
      <c r="P838" s="155"/>
      <c r="Q838" s="186"/>
      <c r="R838" s="186" t="s">
        <v>873</v>
      </c>
      <c r="S838" s="139"/>
      <c r="V838" s="139"/>
    </row>
    <row r="839" spans="4:22">
      <c r="D839" s="139"/>
      <c r="E839" s="141" t="s">
        <v>1829</v>
      </c>
      <c r="F839" s="141" t="s">
        <v>1756</v>
      </c>
      <c r="G839" s="154" t="str">
        <f t="shared" si="172"/>
        <v>/</v>
      </c>
      <c r="H839" s="141" t="str">
        <f t="shared" si="173"/>
        <v>/</v>
      </c>
      <c r="I839" s="139" t="e">
        <f t="shared" si="167"/>
        <v>#NUM!</v>
      </c>
      <c r="J839" s="139" t="e">
        <f t="shared" si="168"/>
        <v>#NUM!</v>
      </c>
      <c r="K839" s="155">
        <f t="shared" si="171"/>
        <v>-1</v>
      </c>
      <c r="N839" s="139">
        <f t="shared" si="169"/>
        <v>0</v>
      </c>
      <c r="O839" s="139">
        <f t="shared" si="170"/>
        <v>1</v>
      </c>
      <c r="P839" s="155"/>
      <c r="Q839" s="186"/>
      <c r="R839" s="186" t="s">
        <v>873</v>
      </c>
      <c r="S839" s="139"/>
      <c r="V839" s="139"/>
    </row>
    <row r="840" spans="4:22">
      <c r="D840" s="139"/>
      <c r="E840" s="141" t="s">
        <v>1829</v>
      </c>
      <c r="F840" s="141" t="s">
        <v>1756</v>
      </c>
      <c r="G840" s="154" t="str">
        <f t="shared" si="172"/>
        <v>/</v>
      </c>
      <c r="H840" s="141" t="str">
        <f t="shared" si="173"/>
        <v>/</v>
      </c>
      <c r="I840" s="139" t="e">
        <f t="shared" si="167"/>
        <v>#NUM!</v>
      </c>
      <c r="J840" s="139" t="e">
        <f t="shared" si="168"/>
        <v>#NUM!</v>
      </c>
      <c r="K840" s="155">
        <f t="shared" si="171"/>
        <v>-1</v>
      </c>
      <c r="N840" s="139">
        <f t="shared" si="169"/>
        <v>0</v>
      </c>
      <c r="O840" s="139">
        <f t="shared" si="170"/>
        <v>1</v>
      </c>
      <c r="P840" s="155"/>
      <c r="Q840" s="186"/>
      <c r="R840" s="186" t="s">
        <v>873</v>
      </c>
      <c r="S840" s="139"/>
      <c r="V840" s="139"/>
    </row>
    <row r="841" spans="4:22">
      <c r="D841" s="139"/>
      <c r="E841" s="141" t="s">
        <v>1829</v>
      </c>
      <c r="F841" s="141" t="s">
        <v>1756</v>
      </c>
      <c r="G841" s="154" t="str">
        <f t="shared" si="172"/>
        <v>/</v>
      </c>
      <c r="H841" s="141" t="str">
        <f t="shared" si="173"/>
        <v>/</v>
      </c>
      <c r="I841" s="139" t="e">
        <f t="shared" si="167"/>
        <v>#NUM!</v>
      </c>
      <c r="J841" s="139" t="e">
        <f t="shared" si="168"/>
        <v>#NUM!</v>
      </c>
      <c r="K841" s="155">
        <f t="shared" si="171"/>
        <v>-1</v>
      </c>
      <c r="N841" s="139">
        <f t="shared" si="169"/>
        <v>0</v>
      </c>
      <c r="O841" s="139">
        <f t="shared" si="170"/>
        <v>1</v>
      </c>
      <c r="P841" s="155"/>
      <c r="Q841" s="186"/>
      <c r="R841" s="186" t="s">
        <v>873</v>
      </c>
      <c r="S841" s="139"/>
      <c r="V841" s="139"/>
    </row>
    <row r="842" spans="4:22">
      <c r="D842" s="139"/>
      <c r="E842" s="141" t="s">
        <v>1829</v>
      </c>
      <c r="F842" s="141" t="s">
        <v>1756</v>
      </c>
      <c r="G842" s="154" t="str">
        <f t="shared" si="172"/>
        <v>/</v>
      </c>
      <c r="H842" s="141" t="str">
        <f t="shared" si="173"/>
        <v>/</v>
      </c>
      <c r="I842" s="139" t="e">
        <f t="shared" si="167"/>
        <v>#NUM!</v>
      </c>
      <c r="J842" s="139" t="e">
        <f t="shared" si="168"/>
        <v>#NUM!</v>
      </c>
      <c r="K842" s="155">
        <f t="shared" si="171"/>
        <v>-1</v>
      </c>
      <c r="N842" s="139">
        <f t="shared" si="169"/>
        <v>0</v>
      </c>
      <c r="O842" s="139">
        <f t="shared" si="170"/>
        <v>1</v>
      </c>
      <c r="P842" s="155"/>
      <c r="Q842" s="186"/>
      <c r="R842" s="186" t="s">
        <v>873</v>
      </c>
      <c r="S842" s="139"/>
      <c r="V842" s="139"/>
    </row>
    <row r="843" spans="4:22">
      <c r="D843" s="139"/>
      <c r="E843" s="141" t="s">
        <v>1829</v>
      </c>
      <c r="F843" s="141" t="s">
        <v>1756</v>
      </c>
      <c r="G843" s="154" t="str">
        <f t="shared" si="172"/>
        <v>/</v>
      </c>
      <c r="H843" s="141" t="str">
        <f t="shared" si="173"/>
        <v>/</v>
      </c>
      <c r="I843" s="139" t="e">
        <f t="shared" si="167"/>
        <v>#NUM!</v>
      </c>
      <c r="J843" s="139" t="e">
        <f t="shared" si="168"/>
        <v>#NUM!</v>
      </c>
      <c r="K843" s="155">
        <f t="shared" si="171"/>
        <v>-1</v>
      </c>
      <c r="N843" s="139">
        <f t="shared" si="169"/>
        <v>0</v>
      </c>
      <c r="O843" s="139">
        <f t="shared" si="170"/>
        <v>1</v>
      </c>
      <c r="P843" s="155"/>
      <c r="Q843" s="186"/>
      <c r="R843" s="186" t="s">
        <v>873</v>
      </c>
      <c r="S843" s="139"/>
      <c r="V843" s="139"/>
    </row>
    <row r="844" spans="4:22">
      <c r="D844" s="139"/>
      <c r="E844" s="141" t="s">
        <v>1829</v>
      </c>
      <c r="F844" s="141" t="s">
        <v>1756</v>
      </c>
      <c r="G844" s="154" t="str">
        <f t="shared" si="172"/>
        <v>/</v>
      </c>
      <c r="H844" s="141" t="str">
        <f t="shared" si="173"/>
        <v>/</v>
      </c>
      <c r="I844" s="139" t="e">
        <f t="shared" si="167"/>
        <v>#NUM!</v>
      </c>
      <c r="J844" s="139" t="e">
        <f t="shared" si="168"/>
        <v>#NUM!</v>
      </c>
      <c r="K844" s="155">
        <f t="shared" si="171"/>
        <v>-1</v>
      </c>
      <c r="N844" s="139">
        <f t="shared" si="169"/>
        <v>0</v>
      </c>
      <c r="O844" s="139">
        <f t="shared" si="170"/>
        <v>1</v>
      </c>
      <c r="P844" s="155"/>
      <c r="Q844" s="186"/>
      <c r="R844" s="186" t="s">
        <v>873</v>
      </c>
      <c r="S844" s="139"/>
      <c r="V844" s="139"/>
    </row>
    <row r="845" spans="4:22">
      <c r="D845" s="139"/>
      <c r="E845" s="141" t="s">
        <v>1829</v>
      </c>
      <c r="F845" s="141" t="s">
        <v>1756</v>
      </c>
      <c r="G845" s="154" t="str">
        <f t="shared" si="172"/>
        <v>/</v>
      </c>
      <c r="H845" s="141" t="str">
        <f t="shared" si="173"/>
        <v>/</v>
      </c>
      <c r="I845" s="139" t="e">
        <f t="shared" si="167"/>
        <v>#NUM!</v>
      </c>
      <c r="J845" s="139" t="e">
        <f t="shared" si="168"/>
        <v>#NUM!</v>
      </c>
      <c r="K845" s="155">
        <f t="shared" si="171"/>
        <v>-1</v>
      </c>
      <c r="N845" s="139">
        <f t="shared" si="169"/>
        <v>0</v>
      </c>
      <c r="O845" s="139">
        <f t="shared" si="170"/>
        <v>1</v>
      </c>
      <c r="P845" s="155"/>
      <c r="Q845" s="186"/>
      <c r="R845" s="186" t="s">
        <v>873</v>
      </c>
      <c r="S845" s="139"/>
      <c r="V845" s="139"/>
    </row>
    <row r="846" spans="4:22">
      <c r="D846" s="139"/>
      <c r="E846" s="141" t="s">
        <v>1829</v>
      </c>
      <c r="F846" s="141" t="s">
        <v>1756</v>
      </c>
      <c r="G846" s="154" t="str">
        <f t="shared" si="172"/>
        <v>/</v>
      </c>
      <c r="H846" s="141" t="str">
        <f t="shared" si="173"/>
        <v>/</v>
      </c>
      <c r="I846" s="139" t="e">
        <f t="shared" si="167"/>
        <v>#NUM!</v>
      </c>
      <c r="J846" s="139" t="e">
        <f t="shared" si="168"/>
        <v>#NUM!</v>
      </c>
      <c r="K846" s="155">
        <f t="shared" si="171"/>
        <v>-1</v>
      </c>
      <c r="N846" s="139">
        <f t="shared" si="169"/>
        <v>0</v>
      </c>
      <c r="O846" s="139">
        <f t="shared" si="170"/>
        <v>1</v>
      </c>
      <c r="P846" s="155"/>
      <c r="Q846" s="186"/>
      <c r="R846" s="186" t="s">
        <v>873</v>
      </c>
      <c r="S846" s="139"/>
      <c r="V846" s="139"/>
    </row>
    <row r="847" spans="4:22">
      <c r="D847" s="139"/>
      <c r="E847" s="141" t="s">
        <v>1829</v>
      </c>
      <c r="F847" s="141" t="s">
        <v>1756</v>
      </c>
      <c r="G847" s="154" t="str">
        <f t="shared" si="172"/>
        <v>/</v>
      </c>
      <c r="H847" s="141" t="str">
        <f t="shared" si="173"/>
        <v>/</v>
      </c>
      <c r="I847" s="139" t="e">
        <f t="shared" si="167"/>
        <v>#NUM!</v>
      </c>
      <c r="J847" s="139" t="e">
        <f t="shared" si="168"/>
        <v>#NUM!</v>
      </c>
      <c r="K847" s="155">
        <f t="shared" si="171"/>
        <v>-1</v>
      </c>
      <c r="N847" s="139">
        <f t="shared" si="169"/>
        <v>0</v>
      </c>
      <c r="O847" s="139">
        <f t="shared" si="170"/>
        <v>1</v>
      </c>
      <c r="P847" s="155"/>
      <c r="Q847" s="186"/>
      <c r="R847" s="186" t="s">
        <v>873</v>
      </c>
      <c r="S847" s="139"/>
      <c r="V847" s="139"/>
    </row>
    <row r="848" spans="4:22">
      <c r="D848" s="139"/>
      <c r="E848" s="141" t="s">
        <v>1829</v>
      </c>
      <c r="F848" s="141" t="s">
        <v>1756</v>
      </c>
      <c r="G848" s="154" t="str">
        <f t="shared" si="172"/>
        <v>/</v>
      </c>
      <c r="H848" s="141" t="str">
        <f t="shared" si="173"/>
        <v>/</v>
      </c>
      <c r="I848" s="139" t="e">
        <f t="shared" si="167"/>
        <v>#NUM!</v>
      </c>
      <c r="J848" s="139" t="e">
        <f t="shared" si="168"/>
        <v>#NUM!</v>
      </c>
      <c r="K848" s="155">
        <f t="shared" si="171"/>
        <v>-1</v>
      </c>
      <c r="N848" s="139">
        <f t="shared" si="169"/>
        <v>0</v>
      </c>
      <c r="O848" s="139">
        <f t="shared" si="170"/>
        <v>1</v>
      </c>
      <c r="P848" s="155"/>
      <c r="Q848" s="186"/>
      <c r="R848" s="186" t="s">
        <v>873</v>
      </c>
      <c r="S848" s="139"/>
      <c r="V848" s="139"/>
    </row>
    <row r="849" spans="4:22">
      <c r="D849" s="139"/>
      <c r="E849" s="141" t="s">
        <v>1829</v>
      </c>
      <c r="F849" s="141" t="s">
        <v>1756</v>
      </c>
      <c r="G849" s="154" t="str">
        <f t="shared" si="172"/>
        <v>/</v>
      </c>
      <c r="H849" s="141" t="str">
        <f t="shared" si="173"/>
        <v>/</v>
      </c>
      <c r="I849" s="139" t="e">
        <f t="shared" si="167"/>
        <v>#NUM!</v>
      </c>
      <c r="J849" s="139" t="e">
        <f t="shared" si="168"/>
        <v>#NUM!</v>
      </c>
      <c r="K849" s="155">
        <f t="shared" si="171"/>
        <v>-1</v>
      </c>
      <c r="N849" s="139">
        <f t="shared" si="169"/>
        <v>0</v>
      </c>
      <c r="O849" s="139">
        <f t="shared" si="170"/>
        <v>1</v>
      </c>
      <c r="P849" s="155"/>
      <c r="Q849" s="186"/>
      <c r="R849" s="186" t="s">
        <v>873</v>
      </c>
      <c r="S849" s="139"/>
      <c r="V849" s="139"/>
    </row>
    <row r="850" spans="4:22">
      <c r="D850" s="139"/>
      <c r="E850" s="141" t="s">
        <v>1829</v>
      </c>
      <c r="F850" s="141" t="s">
        <v>1756</v>
      </c>
      <c r="G850" s="154" t="str">
        <f t="shared" si="172"/>
        <v>/</v>
      </c>
      <c r="H850" s="141" t="str">
        <f t="shared" si="173"/>
        <v>/</v>
      </c>
      <c r="I850" s="139" t="e">
        <f t="shared" si="167"/>
        <v>#NUM!</v>
      </c>
      <c r="J850" s="139" t="e">
        <f t="shared" si="168"/>
        <v>#NUM!</v>
      </c>
      <c r="K850" s="155">
        <f t="shared" si="171"/>
        <v>-1</v>
      </c>
      <c r="N850" s="139">
        <f t="shared" si="169"/>
        <v>0</v>
      </c>
      <c r="O850" s="139">
        <f t="shared" si="170"/>
        <v>1</v>
      </c>
      <c r="P850" s="155"/>
      <c r="Q850" s="186"/>
      <c r="R850" s="186" t="s">
        <v>873</v>
      </c>
      <c r="S850" s="139"/>
      <c r="V850" s="139"/>
    </row>
    <row r="851" spans="4:22">
      <c r="D851" s="139"/>
      <c r="E851" s="141" t="s">
        <v>1829</v>
      </c>
      <c r="F851" s="141" t="s">
        <v>1756</v>
      </c>
      <c r="G851" s="154" t="str">
        <f t="shared" si="172"/>
        <v>/</v>
      </c>
      <c r="H851" s="141" t="str">
        <f t="shared" si="173"/>
        <v>/</v>
      </c>
      <c r="I851" s="139" t="e">
        <f t="shared" si="167"/>
        <v>#NUM!</v>
      </c>
      <c r="J851" s="139" t="e">
        <f t="shared" si="168"/>
        <v>#NUM!</v>
      </c>
      <c r="K851" s="155">
        <f t="shared" si="171"/>
        <v>-1</v>
      </c>
      <c r="N851" s="139">
        <f t="shared" si="169"/>
        <v>0</v>
      </c>
      <c r="O851" s="139">
        <f t="shared" si="170"/>
        <v>1</v>
      </c>
      <c r="P851" s="155"/>
      <c r="Q851" s="186"/>
      <c r="R851" s="186" t="s">
        <v>873</v>
      </c>
      <c r="S851" s="139"/>
      <c r="V851" s="139"/>
    </row>
    <row r="852" spans="4:22">
      <c r="D852" s="139"/>
      <c r="E852" s="141" t="s">
        <v>1829</v>
      </c>
      <c r="F852" s="141" t="s">
        <v>1756</v>
      </c>
      <c r="G852" s="154" t="str">
        <f t="shared" si="172"/>
        <v>/</v>
      </c>
      <c r="H852" s="141" t="str">
        <f t="shared" si="173"/>
        <v>/</v>
      </c>
      <c r="I852" s="139" t="e">
        <f t="shared" si="167"/>
        <v>#NUM!</v>
      </c>
      <c r="J852" s="139" t="e">
        <f t="shared" si="168"/>
        <v>#NUM!</v>
      </c>
      <c r="K852" s="155">
        <f t="shared" si="171"/>
        <v>-1</v>
      </c>
      <c r="N852" s="139">
        <f t="shared" si="169"/>
        <v>0</v>
      </c>
      <c r="O852" s="139">
        <f t="shared" si="170"/>
        <v>1</v>
      </c>
      <c r="P852" s="155"/>
      <c r="Q852" s="186"/>
      <c r="R852" s="186" t="s">
        <v>873</v>
      </c>
      <c r="S852" s="139"/>
      <c r="V852" s="139"/>
    </row>
    <row r="853" spans="4:22">
      <c r="D853" s="139"/>
      <c r="E853" s="141" t="s">
        <v>1829</v>
      </c>
      <c r="F853" s="141" t="s">
        <v>1756</v>
      </c>
      <c r="G853" s="154" t="str">
        <f t="shared" si="172"/>
        <v>/</v>
      </c>
      <c r="H853" s="141" t="str">
        <f t="shared" si="173"/>
        <v>/</v>
      </c>
      <c r="I853" s="139" t="e">
        <f t="shared" si="167"/>
        <v>#NUM!</v>
      </c>
      <c r="J853" s="139" t="e">
        <f t="shared" si="168"/>
        <v>#NUM!</v>
      </c>
      <c r="K853" s="155">
        <f t="shared" si="171"/>
        <v>-1</v>
      </c>
      <c r="N853" s="139">
        <f t="shared" si="169"/>
        <v>0</v>
      </c>
      <c r="O853" s="139">
        <f t="shared" si="170"/>
        <v>1</v>
      </c>
      <c r="P853" s="155"/>
      <c r="Q853" s="186"/>
      <c r="R853" s="186" t="s">
        <v>873</v>
      </c>
      <c r="S853" s="139"/>
      <c r="V853" s="139"/>
    </row>
    <row r="854" spans="4:22">
      <c r="D854" s="139"/>
      <c r="E854" s="141" t="s">
        <v>1829</v>
      </c>
      <c r="F854" s="141" t="s">
        <v>1756</v>
      </c>
      <c r="G854" s="154" t="str">
        <f t="shared" si="172"/>
        <v>/</v>
      </c>
      <c r="H854" s="141" t="str">
        <f t="shared" si="173"/>
        <v>/</v>
      </c>
      <c r="I854" s="139" t="e">
        <f t="shared" si="167"/>
        <v>#NUM!</v>
      </c>
      <c r="J854" s="139" t="e">
        <f t="shared" si="168"/>
        <v>#NUM!</v>
      </c>
      <c r="K854" s="155">
        <f t="shared" si="171"/>
        <v>-1</v>
      </c>
      <c r="N854" s="139">
        <f t="shared" si="169"/>
        <v>0</v>
      </c>
      <c r="O854" s="139">
        <f t="shared" si="170"/>
        <v>1</v>
      </c>
      <c r="P854" s="155"/>
      <c r="Q854" s="186"/>
      <c r="R854" s="186" t="s">
        <v>873</v>
      </c>
      <c r="S854" s="139"/>
      <c r="V854" s="139"/>
    </row>
    <row r="855" spans="4:22">
      <c r="D855" s="139"/>
      <c r="E855" s="141" t="s">
        <v>1829</v>
      </c>
      <c r="F855" s="141" t="s">
        <v>1756</v>
      </c>
      <c r="G855" s="154" t="str">
        <f t="shared" si="172"/>
        <v>/</v>
      </c>
      <c r="H855" s="141" t="str">
        <f t="shared" si="173"/>
        <v>/</v>
      </c>
      <c r="I855" s="139" t="e">
        <f t="shared" si="167"/>
        <v>#NUM!</v>
      </c>
      <c r="J855" s="139" t="e">
        <f t="shared" si="168"/>
        <v>#NUM!</v>
      </c>
      <c r="K855" s="155">
        <f t="shared" si="171"/>
        <v>-1</v>
      </c>
      <c r="N855" s="139">
        <f t="shared" si="169"/>
        <v>0</v>
      </c>
      <c r="O855" s="139">
        <f t="shared" si="170"/>
        <v>1</v>
      </c>
      <c r="P855" s="155"/>
      <c r="Q855" s="186"/>
      <c r="R855" s="186" t="s">
        <v>873</v>
      </c>
      <c r="S855" s="139"/>
      <c r="V855" s="139"/>
    </row>
    <row r="856" spans="4:22">
      <c r="D856" s="139"/>
      <c r="E856" s="141" t="s">
        <v>1829</v>
      </c>
      <c r="F856" s="141" t="s">
        <v>1756</v>
      </c>
      <c r="G856" s="154" t="str">
        <f t="shared" si="172"/>
        <v>/</v>
      </c>
      <c r="H856" s="141" t="str">
        <f t="shared" si="173"/>
        <v>/</v>
      </c>
      <c r="I856" s="139" t="e">
        <f t="shared" si="167"/>
        <v>#NUM!</v>
      </c>
      <c r="J856" s="139" t="e">
        <f t="shared" si="168"/>
        <v>#NUM!</v>
      </c>
      <c r="K856" s="155">
        <f t="shared" si="171"/>
        <v>-1</v>
      </c>
      <c r="N856" s="139">
        <f t="shared" si="169"/>
        <v>0</v>
      </c>
      <c r="O856" s="139">
        <f t="shared" si="170"/>
        <v>1</v>
      </c>
      <c r="P856" s="155"/>
      <c r="Q856" s="186"/>
      <c r="R856" s="186" t="s">
        <v>873</v>
      </c>
      <c r="S856" s="139"/>
      <c r="V856" s="139"/>
    </row>
    <row r="857" spans="4:22">
      <c r="D857" s="139"/>
      <c r="E857" s="141" t="s">
        <v>1829</v>
      </c>
      <c r="F857" s="141" t="s">
        <v>1756</v>
      </c>
      <c r="G857" s="154" t="str">
        <f t="shared" si="172"/>
        <v>/</v>
      </c>
      <c r="H857" s="141" t="str">
        <f t="shared" si="173"/>
        <v>/</v>
      </c>
      <c r="I857" s="139" t="e">
        <f t="shared" si="167"/>
        <v>#NUM!</v>
      </c>
      <c r="J857" s="139" t="e">
        <f t="shared" si="168"/>
        <v>#NUM!</v>
      </c>
      <c r="K857" s="155">
        <f t="shared" si="171"/>
        <v>-1</v>
      </c>
      <c r="N857" s="139">
        <f t="shared" si="169"/>
        <v>0</v>
      </c>
      <c r="O857" s="139">
        <f t="shared" si="170"/>
        <v>1</v>
      </c>
      <c r="P857" s="155"/>
      <c r="Q857" s="186"/>
      <c r="R857" s="186" t="s">
        <v>873</v>
      </c>
      <c r="S857" s="139"/>
      <c r="V857" s="139"/>
    </row>
    <row r="858" spans="4:22">
      <c r="D858" s="139"/>
      <c r="E858" s="141" t="s">
        <v>1829</v>
      </c>
      <c r="F858" s="141" t="s">
        <v>1756</v>
      </c>
      <c r="G858" s="154" t="str">
        <f t="shared" si="172"/>
        <v>/</v>
      </c>
      <c r="H858" s="141" t="str">
        <f t="shared" si="173"/>
        <v>/</v>
      </c>
      <c r="I858" s="139" t="e">
        <f t="shared" si="167"/>
        <v>#NUM!</v>
      </c>
      <c r="J858" s="139" t="e">
        <f t="shared" si="168"/>
        <v>#NUM!</v>
      </c>
      <c r="K858" s="155">
        <f t="shared" si="171"/>
        <v>-1</v>
      </c>
      <c r="N858" s="139">
        <f t="shared" si="169"/>
        <v>0</v>
      </c>
      <c r="O858" s="139">
        <f t="shared" si="170"/>
        <v>1</v>
      </c>
      <c r="P858" s="155"/>
      <c r="Q858" s="186"/>
      <c r="R858" s="186" t="s">
        <v>873</v>
      </c>
      <c r="S858" s="139"/>
      <c r="V858" s="139"/>
    </row>
    <row r="859" spans="4:22">
      <c r="D859" s="139"/>
      <c r="E859" s="141" t="s">
        <v>1829</v>
      </c>
      <c r="F859" s="141" t="s">
        <v>1756</v>
      </c>
      <c r="G859" s="154" t="str">
        <f t="shared" si="172"/>
        <v>/</v>
      </c>
      <c r="H859" s="141" t="str">
        <f t="shared" si="173"/>
        <v>/</v>
      </c>
      <c r="I859" s="139" t="e">
        <f t="shared" si="167"/>
        <v>#NUM!</v>
      </c>
      <c r="J859" s="139" t="e">
        <f t="shared" si="168"/>
        <v>#NUM!</v>
      </c>
      <c r="K859" s="155">
        <f t="shared" si="171"/>
        <v>-1</v>
      </c>
      <c r="N859" s="139">
        <f t="shared" si="169"/>
        <v>0</v>
      </c>
      <c r="O859" s="139">
        <f t="shared" si="170"/>
        <v>1</v>
      </c>
      <c r="P859" s="155"/>
      <c r="Q859" s="186"/>
      <c r="R859" s="186" t="s">
        <v>873</v>
      </c>
      <c r="S859" s="139"/>
      <c r="V859" s="139"/>
    </row>
    <row r="860" spans="4:22">
      <c r="D860" s="139"/>
      <c r="E860" s="141" t="s">
        <v>1829</v>
      </c>
      <c r="F860" s="141" t="s">
        <v>1756</v>
      </c>
      <c r="G860" s="154" t="str">
        <f t="shared" si="172"/>
        <v>/</v>
      </c>
      <c r="H860" s="141" t="str">
        <f t="shared" si="173"/>
        <v>/</v>
      </c>
      <c r="I860" s="139" t="e">
        <f t="shared" si="167"/>
        <v>#NUM!</v>
      </c>
      <c r="J860" s="139" t="e">
        <f t="shared" si="168"/>
        <v>#NUM!</v>
      </c>
      <c r="K860" s="155">
        <f t="shared" si="171"/>
        <v>-1</v>
      </c>
      <c r="N860" s="139">
        <f t="shared" si="169"/>
        <v>0</v>
      </c>
      <c r="O860" s="139">
        <f t="shared" si="170"/>
        <v>1</v>
      </c>
      <c r="P860" s="155"/>
      <c r="Q860" s="186"/>
      <c r="R860" s="186" t="s">
        <v>873</v>
      </c>
      <c r="S860" s="139"/>
      <c r="V860" s="139"/>
    </row>
    <row r="861" spans="4:22">
      <c r="D861" s="139"/>
      <c r="E861" s="141" t="s">
        <v>1829</v>
      </c>
      <c r="F861" s="141" t="s">
        <v>1756</v>
      </c>
      <c r="G861" s="154" t="str">
        <f t="shared" si="172"/>
        <v>/</v>
      </c>
      <c r="H861" s="141" t="str">
        <f t="shared" si="173"/>
        <v>/</v>
      </c>
      <c r="I861" s="139" t="e">
        <f t="shared" si="167"/>
        <v>#NUM!</v>
      </c>
      <c r="J861" s="139" t="e">
        <f t="shared" si="168"/>
        <v>#NUM!</v>
      </c>
      <c r="K861" s="155">
        <f t="shared" si="171"/>
        <v>-1</v>
      </c>
      <c r="N861" s="139">
        <f t="shared" si="169"/>
        <v>0</v>
      </c>
      <c r="O861" s="139">
        <f t="shared" si="170"/>
        <v>1</v>
      </c>
      <c r="P861" s="155"/>
      <c r="Q861" s="186"/>
      <c r="R861" s="186" t="s">
        <v>873</v>
      </c>
      <c r="S861" s="139"/>
      <c r="V861" s="139"/>
    </row>
    <row r="862" spans="4:22">
      <c r="D862" s="139"/>
      <c r="E862" s="141" t="s">
        <v>1829</v>
      </c>
      <c r="F862" s="141" t="s">
        <v>1756</v>
      </c>
      <c r="G862" s="154" t="str">
        <f t="shared" si="172"/>
        <v>/</v>
      </c>
      <c r="H862" s="141" t="str">
        <f t="shared" si="173"/>
        <v>/</v>
      </c>
      <c r="I862" s="139" t="e">
        <f t="shared" si="167"/>
        <v>#NUM!</v>
      </c>
      <c r="J862" s="139" t="e">
        <f t="shared" si="168"/>
        <v>#NUM!</v>
      </c>
      <c r="K862" s="155">
        <f t="shared" si="171"/>
        <v>-1</v>
      </c>
      <c r="N862" s="139">
        <f t="shared" si="169"/>
        <v>0</v>
      </c>
      <c r="O862" s="139">
        <f t="shared" si="170"/>
        <v>1</v>
      </c>
      <c r="P862" s="155"/>
      <c r="Q862" s="186"/>
      <c r="R862" s="186" t="s">
        <v>873</v>
      </c>
      <c r="S862" s="139"/>
      <c r="V862" s="139"/>
    </row>
    <row r="863" spans="4:22">
      <c r="D863" s="139"/>
      <c r="E863" s="141" t="s">
        <v>1829</v>
      </c>
      <c r="F863" s="141" t="s">
        <v>1756</v>
      </c>
      <c r="G863" s="154" t="str">
        <f t="shared" si="172"/>
        <v>/</v>
      </c>
      <c r="H863" s="141" t="str">
        <f t="shared" si="173"/>
        <v>/</v>
      </c>
      <c r="I863" s="139" t="e">
        <f t="shared" si="167"/>
        <v>#NUM!</v>
      </c>
      <c r="J863" s="139" t="e">
        <f t="shared" si="168"/>
        <v>#NUM!</v>
      </c>
      <c r="K863" s="155">
        <f t="shared" si="171"/>
        <v>-1</v>
      </c>
      <c r="N863" s="139">
        <f t="shared" si="169"/>
        <v>0</v>
      </c>
      <c r="O863" s="139">
        <f t="shared" si="170"/>
        <v>1</v>
      </c>
      <c r="P863" s="155"/>
      <c r="Q863" s="186"/>
      <c r="R863" s="186" t="s">
        <v>873</v>
      </c>
      <c r="S863" s="139"/>
      <c r="V863" s="139"/>
    </row>
    <row r="864" spans="4:22">
      <c r="D864" s="139"/>
      <c r="E864" s="141" t="s">
        <v>1829</v>
      </c>
      <c r="F864" s="141" t="s">
        <v>1756</v>
      </c>
      <c r="G864" s="154" t="str">
        <f t="shared" si="172"/>
        <v>/</v>
      </c>
      <c r="H864" s="141" t="str">
        <f t="shared" si="173"/>
        <v>/</v>
      </c>
      <c r="I864" s="139" t="e">
        <f t="shared" si="167"/>
        <v>#NUM!</v>
      </c>
      <c r="J864" s="139" t="e">
        <f t="shared" si="168"/>
        <v>#NUM!</v>
      </c>
      <c r="K864" s="155">
        <f t="shared" si="171"/>
        <v>-1</v>
      </c>
      <c r="N864" s="139">
        <f t="shared" si="169"/>
        <v>0</v>
      </c>
      <c r="O864" s="139">
        <f t="shared" si="170"/>
        <v>1</v>
      </c>
      <c r="P864" s="155"/>
      <c r="Q864" s="186"/>
      <c r="R864" s="186" t="s">
        <v>873</v>
      </c>
      <c r="S864" s="139"/>
      <c r="V864" s="139"/>
    </row>
    <row r="865" spans="4:22">
      <c r="D865" s="139"/>
      <c r="E865" s="141" t="s">
        <v>1829</v>
      </c>
      <c r="F865" s="141" t="s">
        <v>1756</v>
      </c>
      <c r="G865" s="154" t="str">
        <f t="shared" si="172"/>
        <v>/</v>
      </c>
      <c r="H865" s="141" t="str">
        <f t="shared" si="173"/>
        <v>/</v>
      </c>
      <c r="I865" s="139" t="e">
        <f t="shared" si="167"/>
        <v>#NUM!</v>
      </c>
      <c r="J865" s="139" t="e">
        <f t="shared" si="168"/>
        <v>#NUM!</v>
      </c>
      <c r="K865" s="155">
        <f t="shared" si="171"/>
        <v>-1</v>
      </c>
      <c r="N865" s="139">
        <f t="shared" si="169"/>
        <v>0</v>
      </c>
      <c r="O865" s="139">
        <f t="shared" si="170"/>
        <v>1</v>
      </c>
      <c r="P865" s="155"/>
      <c r="Q865" s="186"/>
      <c r="R865" s="186" t="s">
        <v>873</v>
      </c>
      <c r="S865" s="139"/>
      <c r="V865" s="139"/>
    </row>
    <row r="866" spans="4:22">
      <c r="D866" s="139"/>
      <c r="E866" s="141" t="s">
        <v>1829</v>
      </c>
      <c r="F866" s="141" t="s">
        <v>1756</v>
      </c>
      <c r="G866" s="154" t="str">
        <f t="shared" si="172"/>
        <v>/</v>
      </c>
      <c r="H866" s="141" t="str">
        <f t="shared" si="173"/>
        <v>/</v>
      </c>
      <c r="I866" s="139" t="e">
        <f t="shared" si="167"/>
        <v>#NUM!</v>
      </c>
      <c r="J866" s="139" t="e">
        <f t="shared" si="168"/>
        <v>#NUM!</v>
      </c>
      <c r="K866" s="155">
        <f t="shared" si="171"/>
        <v>-1</v>
      </c>
      <c r="N866" s="139">
        <f t="shared" si="169"/>
        <v>0</v>
      </c>
      <c r="O866" s="139">
        <f t="shared" si="170"/>
        <v>1</v>
      </c>
      <c r="P866" s="155"/>
      <c r="Q866" s="186"/>
      <c r="R866" s="186" t="s">
        <v>873</v>
      </c>
      <c r="S866" s="139"/>
      <c r="V866" s="139"/>
    </row>
    <row r="867" spans="4:22">
      <c r="D867" s="139"/>
      <c r="E867" s="141" t="s">
        <v>1829</v>
      </c>
      <c r="F867" s="141" t="s">
        <v>1756</v>
      </c>
      <c r="G867" s="154" t="str">
        <f t="shared" si="172"/>
        <v>/</v>
      </c>
      <c r="H867" s="141" t="str">
        <f t="shared" si="173"/>
        <v>/</v>
      </c>
      <c r="I867" s="139" t="e">
        <f t="shared" si="167"/>
        <v>#NUM!</v>
      </c>
      <c r="J867" s="139" t="e">
        <f t="shared" si="168"/>
        <v>#NUM!</v>
      </c>
      <c r="K867" s="155">
        <f t="shared" si="171"/>
        <v>-1</v>
      </c>
      <c r="N867" s="139">
        <f t="shared" si="169"/>
        <v>0</v>
      </c>
      <c r="O867" s="139">
        <f t="shared" si="170"/>
        <v>1</v>
      </c>
      <c r="P867" s="155"/>
      <c r="Q867" s="186"/>
      <c r="R867" s="186" t="s">
        <v>873</v>
      </c>
      <c r="S867" s="139"/>
      <c r="V867" s="139"/>
    </row>
    <row r="868" spans="4:22">
      <c r="D868" s="139"/>
      <c r="E868" s="141" t="s">
        <v>1829</v>
      </c>
      <c r="F868" s="141" t="s">
        <v>1756</v>
      </c>
      <c r="G868" s="154" t="str">
        <f t="shared" si="172"/>
        <v>/</v>
      </c>
      <c r="H868" s="141" t="str">
        <f t="shared" si="173"/>
        <v>/</v>
      </c>
      <c r="I868" s="139" t="e">
        <f t="shared" si="167"/>
        <v>#NUM!</v>
      </c>
      <c r="J868" s="139" t="e">
        <f t="shared" si="168"/>
        <v>#NUM!</v>
      </c>
      <c r="K868" s="155">
        <f t="shared" si="171"/>
        <v>-1</v>
      </c>
      <c r="N868" s="139">
        <f t="shared" si="169"/>
        <v>0</v>
      </c>
      <c r="O868" s="139">
        <f t="shared" si="170"/>
        <v>1</v>
      </c>
      <c r="P868" s="155"/>
      <c r="Q868" s="186"/>
      <c r="R868" s="186" t="s">
        <v>873</v>
      </c>
      <c r="S868" s="139"/>
      <c r="V868" s="139"/>
    </row>
    <row r="869" spans="4:22">
      <c r="D869" s="139"/>
      <c r="E869" s="141" t="s">
        <v>1829</v>
      </c>
      <c r="F869" s="141" t="s">
        <v>1756</v>
      </c>
      <c r="G869" s="154" t="str">
        <f t="shared" si="172"/>
        <v>/</v>
      </c>
      <c r="H869" s="141" t="str">
        <f t="shared" si="173"/>
        <v>/</v>
      </c>
      <c r="I869" s="139" t="e">
        <f t="shared" si="167"/>
        <v>#NUM!</v>
      </c>
      <c r="J869" s="139" t="e">
        <f t="shared" si="168"/>
        <v>#NUM!</v>
      </c>
      <c r="K869" s="155">
        <f t="shared" si="171"/>
        <v>-1</v>
      </c>
      <c r="N869" s="139">
        <f t="shared" si="169"/>
        <v>0</v>
      </c>
      <c r="O869" s="139">
        <f t="shared" si="170"/>
        <v>1</v>
      </c>
      <c r="P869" s="155"/>
      <c r="Q869" s="186"/>
      <c r="R869" s="186" t="s">
        <v>873</v>
      </c>
      <c r="S869" s="139"/>
      <c r="V869" s="139"/>
    </row>
    <row r="870" spans="4:22">
      <c r="D870" s="139"/>
      <c r="E870" s="141" t="s">
        <v>1829</v>
      </c>
      <c r="F870" s="141" t="s">
        <v>1756</v>
      </c>
      <c r="G870" s="154" t="str">
        <f t="shared" si="172"/>
        <v>/</v>
      </c>
      <c r="H870" s="141" t="str">
        <f t="shared" si="173"/>
        <v>/</v>
      </c>
      <c r="I870" s="139" t="e">
        <f t="shared" si="167"/>
        <v>#NUM!</v>
      </c>
      <c r="J870" s="139" t="e">
        <f t="shared" si="168"/>
        <v>#NUM!</v>
      </c>
      <c r="K870" s="155">
        <f t="shared" si="171"/>
        <v>-1</v>
      </c>
      <c r="N870" s="139">
        <f t="shared" si="169"/>
        <v>0</v>
      </c>
      <c r="O870" s="139">
        <f t="shared" si="170"/>
        <v>1</v>
      </c>
      <c r="P870" s="155"/>
      <c r="Q870" s="186"/>
      <c r="R870" s="186" t="s">
        <v>873</v>
      </c>
      <c r="S870" s="139"/>
      <c r="V870" s="139"/>
    </row>
    <row r="871" spans="4:22">
      <c r="D871" s="139"/>
      <c r="E871" s="141" t="s">
        <v>1829</v>
      </c>
      <c r="F871" s="141" t="s">
        <v>1756</v>
      </c>
      <c r="G871" s="154" t="str">
        <f t="shared" si="172"/>
        <v>/</v>
      </c>
      <c r="H871" s="141" t="str">
        <f t="shared" si="173"/>
        <v>/</v>
      </c>
      <c r="I871" s="139" t="e">
        <f t="shared" si="167"/>
        <v>#NUM!</v>
      </c>
      <c r="J871" s="139" t="e">
        <f t="shared" si="168"/>
        <v>#NUM!</v>
      </c>
      <c r="K871" s="155">
        <f t="shared" si="171"/>
        <v>-1</v>
      </c>
      <c r="N871" s="139">
        <f t="shared" si="169"/>
        <v>0</v>
      </c>
      <c r="O871" s="139">
        <f t="shared" si="170"/>
        <v>1</v>
      </c>
      <c r="P871" s="155"/>
      <c r="Q871" s="186"/>
      <c r="R871" s="186" t="s">
        <v>873</v>
      </c>
      <c r="S871" s="139"/>
      <c r="V871" s="139"/>
    </row>
    <row r="872" spans="4:22">
      <c r="D872" s="139"/>
      <c r="E872" s="141" t="s">
        <v>1829</v>
      </c>
      <c r="F872" s="141" t="s">
        <v>1756</v>
      </c>
      <c r="G872" s="154" t="str">
        <f t="shared" si="172"/>
        <v>/</v>
      </c>
      <c r="H872" s="141" t="str">
        <f t="shared" si="173"/>
        <v>/</v>
      </c>
      <c r="I872" s="139" t="e">
        <f t="shared" si="167"/>
        <v>#NUM!</v>
      </c>
      <c r="J872" s="139" t="e">
        <f t="shared" si="168"/>
        <v>#NUM!</v>
      </c>
      <c r="K872" s="155">
        <f t="shared" si="171"/>
        <v>-1</v>
      </c>
      <c r="N872" s="139">
        <f t="shared" si="169"/>
        <v>0</v>
      </c>
      <c r="O872" s="139">
        <f t="shared" si="170"/>
        <v>1</v>
      </c>
      <c r="P872" s="155"/>
      <c r="Q872" s="186"/>
      <c r="R872" s="186" t="s">
        <v>873</v>
      </c>
      <c r="S872" s="139"/>
      <c r="V872" s="139"/>
    </row>
    <row r="873" spans="4:22">
      <c r="D873" s="139"/>
      <c r="E873" s="141" t="s">
        <v>1829</v>
      </c>
      <c r="F873" s="141" t="s">
        <v>1756</v>
      </c>
      <c r="G873" s="154" t="str">
        <f t="shared" si="172"/>
        <v>/</v>
      </c>
      <c r="H873" s="141" t="str">
        <f t="shared" si="173"/>
        <v>/</v>
      </c>
      <c r="I873" s="139" t="e">
        <f t="shared" si="167"/>
        <v>#NUM!</v>
      </c>
      <c r="J873" s="139" t="e">
        <f t="shared" si="168"/>
        <v>#NUM!</v>
      </c>
      <c r="K873" s="155">
        <f t="shared" si="171"/>
        <v>-1</v>
      </c>
      <c r="N873" s="139">
        <f t="shared" si="169"/>
        <v>0</v>
      </c>
      <c r="O873" s="139">
        <f t="shared" si="170"/>
        <v>1</v>
      </c>
      <c r="P873" s="155"/>
      <c r="Q873" s="186"/>
      <c r="R873" s="186" t="s">
        <v>873</v>
      </c>
      <c r="S873" s="139"/>
      <c r="V873" s="139"/>
    </row>
    <row r="874" spans="4:22">
      <c r="D874" s="139"/>
      <c r="E874" s="141" t="s">
        <v>1829</v>
      </c>
      <c r="F874" s="141" t="s">
        <v>1756</v>
      </c>
      <c r="G874" s="154" t="str">
        <f t="shared" si="172"/>
        <v>/</v>
      </c>
      <c r="H874" s="141" t="str">
        <f t="shared" si="173"/>
        <v>/</v>
      </c>
      <c r="I874" s="139" t="e">
        <f t="shared" si="167"/>
        <v>#NUM!</v>
      </c>
      <c r="J874" s="139" t="e">
        <f t="shared" si="168"/>
        <v>#NUM!</v>
      </c>
      <c r="K874" s="155">
        <f t="shared" si="171"/>
        <v>-1</v>
      </c>
      <c r="N874" s="139">
        <f t="shared" si="169"/>
        <v>0</v>
      </c>
      <c r="O874" s="139">
        <f t="shared" si="170"/>
        <v>1</v>
      </c>
      <c r="P874" s="155"/>
      <c r="Q874" s="186"/>
      <c r="R874" s="186" t="s">
        <v>873</v>
      </c>
      <c r="S874" s="139"/>
      <c r="V874" s="139"/>
    </row>
    <row r="875" spans="4:22">
      <c r="D875" s="139"/>
      <c r="E875" s="141" t="s">
        <v>1829</v>
      </c>
      <c r="F875" s="141" t="s">
        <v>1756</v>
      </c>
      <c r="G875" s="154" t="str">
        <f t="shared" si="172"/>
        <v>/</v>
      </c>
      <c r="H875" s="141" t="str">
        <f t="shared" si="173"/>
        <v>/</v>
      </c>
      <c r="I875" s="139" t="e">
        <f t="shared" si="167"/>
        <v>#NUM!</v>
      </c>
      <c r="J875" s="139" t="e">
        <f t="shared" si="168"/>
        <v>#NUM!</v>
      </c>
      <c r="K875" s="155">
        <f t="shared" si="171"/>
        <v>-1</v>
      </c>
      <c r="N875" s="139">
        <f t="shared" si="169"/>
        <v>0</v>
      </c>
      <c r="O875" s="139">
        <f t="shared" si="170"/>
        <v>1</v>
      </c>
      <c r="P875" s="155"/>
      <c r="Q875" s="186"/>
      <c r="R875" s="186" t="s">
        <v>873</v>
      </c>
      <c r="S875" s="139"/>
      <c r="V875" s="139"/>
    </row>
    <row r="876" spans="4:22">
      <c r="D876" s="139"/>
      <c r="E876" s="141" t="s">
        <v>1829</v>
      </c>
      <c r="F876" s="141" t="s">
        <v>1756</v>
      </c>
      <c r="G876" s="154" t="str">
        <f t="shared" si="172"/>
        <v>/</v>
      </c>
      <c r="H876" s="141" t="str">
        <f t="shared" si="173"/>
        <v>/</v>
      </c>
      <c r="I876" s="139" t="e">
        <f t="shared" si="167"/>
        <v>#NUM!</v>
      </c>
      <c r="J876" s="139" t="e">
        <f t="shared" si="168"/>
        <v>#NUM!</v>
      </c>
      <c r="K876" s="155">
        <f t="shared" si="171"/>
        <v>-1</v>
      </c>
      <c r="N876" s="139">
        <f t="shared" si="169"/>
        <v>0</v>
      </c>
      <c r="O876" s="139">
        <f t="shared" si="170"/>
        <v>1</v>
      </c>
      <c r="P876" s="155"/>
      <c r="Q876" s="186"/>
      <c r="R876" s="186" t="s">
        <v>873</v>
      </c>
      <c r="S876" s="139"/>
      <c r="V876" s="139"/>
    </row>
    <row r="877" spans="4:22">
      <c r="D877" s="139"/>
      <c r="E877" s="141" t="s">
        <v>1829</v>
      </c>
      <c r="F877" s="141" t="s">
        <v>1756</v>
      </c>
      <c r="G877" s="154" t="str">
        <f t="shared" si="172"/>
        <v>/</v>
      </c>
      <c r="H877" s="141" t="str">
        <f t="shared" si="173"/>
        <v>/</v>
      </c>
      <c r="I877" s="139" t="e">
        <f t="shared" si="167"/>
        <v>#NUM!</v>
      </c>
      <c r="J877" s="139" t="e">
        <f t="shared" si="168"/>
        <v>#NUM!</v>
      </c>
      <c r="K877" s="155">
        <f t="shared" si="171"/>
        <v>-1</v>
      </c>
      <c r="N877" s="139">
        <f t="shared" si="169"/>
        <v>0</v>
      </c>
      <c r="O877" s="139">
        <f t="shared" si="170"/>
        <v>1</v>
      </c>
      <c r="P877" s="155"/>
      <c r="Q877" s="186"/>
      <c r="R877" s="186" t="s">
        <v>873</v>
      </c>
      <c r="S877" s="139"/>
      <c r="V877" s="139"/>
    </row>
    <row r="878" spans="4:22">
      <c r="D878" s="139"/>
      <c r="E878" s="141" t="s">
        <v>1829</v>
      </c>
      <c r="F878" s="141" t="s">
        <v>1756</v>
      </c>
      <c r="G878" s="154" t="str">
        <f t="shared" si="172"/>
        <v>/</v>
      </c>
      <c r="H878" s="141" t="str">
        <f t="shared" si="173"/>
        <v>/</v>
      </c>
      <c r="I878" s="139" t="e">
        <f t="shared" si="167"/>
        <v>#NUM!</v>
      </c>
      <c r="J878" s="139" t="e">
        <f t="shared" si="168"/>
        <v>#NUM!</v>
      </c>
      <c r="K878" s="155">
        <f t="shared" si="171"/>
        <v>-1</v>
      </c>
      <c r="N878" s="139">
        <f t="shared" si="169"/>
        <v>0</v>
      </c>
      <c r="O878" s="139">
        <f t="shared" si="170"/>
        <v>1</v>
      </c>
      <c r="P878" s="155"/>
      <c r="Q878" s="186"/>
      <c r="R878" s="186" t="s">
        <v>873</v>
      </c>
      <c r="S878" s="139"/>
      <c r="V878" s="139"/>
    </row>
    <row r="879" spans="4:22">
      <c r="D879" s="139"/>
      <c r="E879" s="141" t="s">
        <v>1829</v>
      </c>
      <c r="F879" s="141" t="s">
        <v>1756</v>
      </c>
      <c r="G879" s="154" t="str">
        <f t="shared" si="172"/>
        <v>/</v>
      </c>
      <c r="H879" s="141" t="str">
        <f t="shared" si="173"/>
        <v>/</v>
      </c>
      <c r="I879" s="139" t="e">
        <f t="shared" si="167"/>
        <v>#NUM!</v>
      </c>
      <c r="J879" s="139" t="e">
        <f t="shared" si="168"/>
        <v>#NUM!</v>
      </c>
      <c r="K879" s="155">
        <f t="shared" si="171"/>
        <v>-1</v>
      </c>
      <c r="N879" s="139">
        <f t="shared" si="169"/>
        <v>0</v>
      </c>
      <c r="O879" s="139">
        <f t="shared" si="170"/>
        <v>1</v>
      </c>
      <c r="P879" s="155"/>
      <c r="Q879" s="186"/>
      <c r="R879" s="186" t="s">
        <v>873</v>
      </c>
      <c r="S879" s="139"/>
      <c r="V879" s="139"/>
    </row>
    <row r="880" spans="4:22">
      <c r="D880" s="139"/>
      <c r="E880" s="141" t="s">
        <v>1829</v>
      </c>
      <c r="F880" s="141" t="s">
        <v>1756</v>
      </c>
      <c r="G880" s="154" t="str">
        <f t="shared" si="172"/>
        <v>/</v>
      </c>
      <c r="H880" s="141" t="str">
        <f t="shared" si="173"/>
        <v>/</v>
      </c>
      <c r="I880" s="139" t="e">
        <f t="shared" si="167"/>
        <v>#NUM!</v>
      </c>
      <c r="J880" s="139" t="e">
        <f t="shared" si="168"/>
        <v>#NUM!</v>
      </c>
      <c r="K880" s="155">
        <f t="shared" si="171"/>
        <v>-1</v>
      </c>
      <c r="N880" s="139">
        <f t="shared" si="169"/>
        <v>0</v>
      </c>
      <c r="O880" s="139">
        <f t="shared" si="170"/>
        <v>1</v>
      </c>
      <c r="P880" s="155"/>
      <c r="Q880" s="186"/>
      <c r="R880" s="186" t="s">
        <v>873</v>
      </c>
      <c r="S880" s="139"/>
      <c r="V880" s="139"/>
    </row>
    <row r="881" spans="4:22">
      <c r="D881" s="139"/>
      <c r="E881" s="141" t="s">
        <v>1829</v>
      </c>
      <c r="F881" s="141" t="s">
        <v>1756</v>
      </c>
      <c r="G881" s="154" t="str">
        <f t="shared" si="172"/>
        <v>/</v>
      </c>
      <c r="H881" s="141" t="str">
        <f t="shared" si="173"/>
        <v>/</v>
      </c>
      <c r="I881" s="139" t="e">
        <f t="shared" si="167"/>
        <v>#NUM!</v>
      </c>
      <c r="J881" s="139" t="e">
        <f t="shared" si="168"/>
        <v>#NUM!</v>
      </c>
      <c r="K881" s="155">
        <f t="shared" si="171"/>
        <v>-1</v>
      </c>
      <c r="N881" s="139">
        <f t="shared" si="169"/>
        <v>0</v>
      </c>
      <c r="O881" s="139">
        <f t="shared" si="170"/>
        <v>1</v>
      </c>
      <c r="P881" s="155"/>
      <c r="Q881" s="186"/>
      <c r="R881" s="186" t="s">
        <v>873</v>
      </c>
      <c r="S881" s="139"/>
      <c r="V881" s="139"/>
    </row>
    <row r="882" spans="4:22">
      <c r="D882" s="139"/>
      <c r="E882" s="141" t="s">
        <v>1829</v>
      </c>
      <c r="F882" s="141" t="s">
        <v>1756</v>
      </c>
      <c r="G882" s="154" t="str">
        <f t="shared" si="172"/>
        <v>/</v>
      </c>
      <c r="H882" s="141" t="str">
        <f t="shared" si="173"/>
        <v>/</v>
      </c>
      <c r="I882" s="139" t="e">
        <f t="shared" si="167"/>
        <v>#NUM!</v>
      </c>
      <c r="J882" s="139" t="e">
        <f t="shared" si="168"/>
        <v>#NUM!</v>
      </c>
      <c r="K882" s="155">
        <f t="shared" si="171"/>
        <v>-1</v>
      </c>
      <c r="N882" s="139">
        <f t="shared" si="169"/>
        <v>0</v>
      </c>
      <c r="O882" s="139">
        <f t="shared" si="170"/>
        <v>1</v>
      </c>
      <c r="P882" s="155"/>
      <c r="Q882" s="186"/>
      <c r="R882" s="186" t="s">
        <v>873</v>
      </c>
      <c r="S882" s="139"/>
      <c r="V882" s="139"/>
    </row>
    <row r="883" spans="4:22">
      <c r="D883" s="139"/>
      <c r="E883" s="141" t="s">
        <v>1829</v>
      </c>
      <c r="F883" s="141" t="s">
        <v>1756</v>
      </c>
      <c r="G883" s="154" t="str">
        <f t="shared" si="172"/>
        <v>/</v>
      </c>
      <c r="H883" s="141" t="str">
        <f t="shared" si="173"/>
        <v>/</v>
      </c>
      <c r="I883" s="139" t="e">
        <f t="shared" ref="I883:I946" si="174">DAY(K883)</f>
        <v>#NUM!</v>
      </c>
      <c r="J883" s="139" t="e">
        <f t="shared" ref="J883:J946" si="175">MONTH(K883)</f>
        <v>#NUM!</v>
      </c>
      <c r="K883" s="155">
        <f t="shared" si="171"/>
        <v>-1</v>
      </c>
      <c r="N883" s="139">
        <f t="shared" ref="N883:N946" si="176">DAY(P883)</f>
        <v>0</v>
      </c>
      <c r="O883" s="139">
        <f t="shared" ref="O883:O946" si="177">MONTH(P883)</f>
        <v>1</v>
      </c>
      <c r="P883" s="155"/>
      <c r="Q883" s="186"/>
      <c r="R883" s="186" t="s">
        <v>873</v>
      </c>
      <c r="S883" s="139"/>
      <c r="V883" s="139"/>
    </row>
    <row r="884" spans="4:22">
      <c r="D884" s="139"/>
      <c r="E884" s="141" t="s">
        <v>1829</v>
      </c>
      <c r="F884" s="141" t="s">
        <v>1756</v>
      </c>
      <c r="G884" s="154" t="str">
        <f t="shared" si="172"/>
        <v>/</v>
      </c>
      <c r="H884" s="141" t="str">
        <f t="shared" si="173"/>
        <v>/</v>
      </c>
      <c r="I884" s="139" t="e">
        <f t="shared" si="174"/>
        <v>#NUM!</v>
      </c>
      <c r="J884" s="139" t="e">
        <f t="shared" si="175"/>
        <v>#NUM!</v>
      </c>
      <c r="K884" s="155">
        <f t="shared" si="171"/>
        <v>-1</v>
      </c>
      <c r="N884" s="139">
        <f t="shared" si="176"/>
        <v>0</v>
      </c>
      <c r="O884" s="139">
        <f t="shared" si="177"/>
        <v>1</v>
      </c>
      <c r="P884" s="155"/>
      <c r="Q884" s="186"/>
      <c r="R884" s="186" t="s">
        <v>873</v>
      </c>
      <c r="S884" s="139"/>
      <c r="V884" s="139"/>
    </row>
    <row r="885" spans="4:22">
      <c r="D885" s="139"/>
      <c r="E885" s="141" t="s">
        <v>1829</v>
      </c>
      <c r="F885" s="141" t="s">
        <v>1756</v>
      </c>
      <c r="G885" s="154" t="str">
        <f t="shared" si="172"/>
        <v>/</v>
      </c>
      <c r="H885" s="141" t="str">
        <f t="shared" si="173"/>
        <v>/</v>
      </c>
      <c r="I885" s="139" t="e">
        <f t="shared" si="174"/>
        <v>#NUM!</v>
      </c>
      <c r="J885" s="139" t="e">
        <f t="shared" si="175"/>
        <v>#NUM!</v>
      </c>
      <c r="K885" s="155">
        <f t="shared" si="171"/>
        <v>-1</v>
      </c>
      <c r="N885" s="139">
        <f t="shared" si="176"/>
        <v>0</v>
      </c>
      <c r="O885" s="139">
        <f t="shared" si="177"/>
        <v>1</v>
      </c>
      <c r="P885" s="155"/>
      <c r="Q885" s="186"/>
      <c r="R885" s="186" t="s">
        <v>873</v>
      </c>
      <c r="S885" s="139"/>
      <c r="V885" s="139"/>
    </row>
    <row r="886" spans="4:22">
      <c r="D886" s="139"/>
      <c r="E886" s="141" t="s">
        <v>1829</v>
      </c>
      <c r="F886" s="141" t="s">
        <v>1756</v>
      </c>
      <c r="G886" s="154" t="str">
        <f t="shared" si="172"/>
        <v>/</v>
      </c>
      <c r="H886" s="141" t="str">
        <f t="shared" si="173"/>
        <v>/</v>
      </c>
      <c r="I886" s="139" t="e">
        <f t="shared" si="174"/>
        <v>#NUM!</v>
      </c>
      <c r="J886" s="139" t="e">
        <f t="shared" si="175"/>
        <v>#NUM!</v>
      </c>
      <c r="K886" s="155">
        <f t="shared" si="171"/>
        <v>-1</v>
      </c>
      <c r="N886" s="139">
        <f t="shared" si="176"/>
        <v>0</v>
      </c>
      <c r="O886" s="139">
        <f t="shared" si="177"/>
        <v>1</v>
      </c>
      <c r="P886" s="155"/>
      <c r="Q886" s="186"/>
      <c r="R886" s="186" t="s">
        <v>873</v>
      </c>
      <c r="S886" s="139"/>
      <c r="V886" s="139"/>
    </row>
    <row r="887" spans="4:22">
      <c r="D887" s="139"/>
      <c r="E887" s="141" t="s">
        <v>1829</v>
      </c>
      <c r="F887" s="141" t="s">
        <v>1756</v>
      </c>
      <c r="G887" s="154" t="str">
        <f t="shared" si="172"/>
        <v>/</v>
      </c>
      <c r="H887" s="141" t="str">
        <f t="shared" si="173"/>
        <v>/</v>
      </c>
      <c r="I887" s="139" t="e">
        <f t="shared" si="174"/>
        <v>#NUM!</v>
      </c>
      <c r="J887" s="139" t="e">
        <f t="shared" si="175"/>
        <v>#NUM!</v>
      </c>
      <c r="K887" s="155">
        <f t="shared" si="171"/>
        <v>-1</v>
      </c>
      <c r="N887" s="139">
        <f t="shared" si="176"/>
        <v>0</v>
      </c>
      <c r="O887" s="139">
        <f t="shared" si="177"/>
        <v>1</v>
      </c>
      <c r="P887" s="155"/>
      <c r="Q887" s="186"/>
      <c r="R887" s="186" t="s">
        <v>873</v>
      </c>
      <c r="S887" s="139"/>
      <c r="V887" s="139"/>
    </row>
    <row r="888" spans="4:22">
      <c r="D888" s="139"/>
      <c r="E888" s="141" t="s">
        <v>1829</v>
      </c>
      <c r="F888" s="141" t="s">
        <v>1756</v>
      </c>
      <c r="G888" s="154" t="str">
        <f t="shared" si="172"/>
        <v>/</v>
      </c>
      <c r="H888" s="141" t="str">
        <f t="shared" si="173"/>
        <v>/</v>
      </c>
      <c r="I888" s="139" t="e">
        <f t="shared" si="174"/>
        <v>#NUM!</v>
      </c>
      <c r="J888" s="139" t="e">
        <f t="shared" si="175"/>
        <v>#NUM!</v>
      </c>
      <c r="K888" s="155">
        <f t="shared" si="171"/>
        <v>-1</v>
      </c>
      <c r="N888" s="139">
        <f t="shared" si="176"/>
        <v>0</v>
      </c>
      <c r="O888" s="139">
        <f t="shared" si="177"/>
        <v>1</v>
      </c>
      <c r="P888" s="155"/>
      <c r="Q888" s="186"/>
      <c r="R888" s="186" t="s">
        <v>873</v>
      </c>
      <c r="S888" s="139"/>
      <c r="V888" s="139"/>
    </row>
    <row r="889" spans="4:22">
      <c r="D889" s="139"/>
      <c r="E889" s="141" t="s">
        <v>1829</v>
      </c>
      <c r="F889" s="141" t="s">
        <v>1756</v>
      </c>
      <c r="G889" s="154" t="str">
        <f t="shared" si="172"/>
        <v>/</v>
      </c>
      <c r="H889" s="141" t="str">
        <f t="shared" si="173"/>
        <v>/</v>
      </c>
      <c r="I889" s="139" t="e">
        <f t="shared" si="174"/>
        <v>#NUM!</v>
      </c>
      <c r="J889" s="139" t="e">
        <f t="shared" si="175"/>
        <v>#NUM!</v>
      </c>
      <c r="K889" s="155">
        <f t="shared" si="171"/>
        <v>-1</v>
      </c>
      <c r="N889" s="139">
        <f t="shared" si="176"/>
        <v>0</v>
      </c>
      <c r="O889" s="139">
        <f t="shared" si="177"/>
        <v>1</v>
      </c>
      <c r="P889" s="155"/>
      <c r="Q889" s="186"/>
      <c r="R889" s="186" t="s">
        <v>873</v>
      </c>
      <c r="S889" s="139"/>
      <c r="V889" s="139"/>
    </row>
    <row r="890" spans="4:22">
      <c r="D890" s="139"/>
      <c r="E890" s="141" t="s">
        <v>1829</v>
      </c>
      <c r="F890" s="141" t="s">
        <v>1756</v>
      </c>
      <c r="G890" s="154" t="str">
        <f t="shared" si="172"/>
        <v>/</v>
      </c>
      <c r="H890" s="141" t="str">
        <f t="shared" si="173"/>
        <v>/</v>
      </c>
      <c r="I890" s="139" t="e">
        <f t="shared" si="174"/>
        <v>#NUM!</v>
      </c>
      <c r="J890" s="139" t="e">
        <f t="shared" si="175"/>
        <v>#NUM!</v>
      </c>
      <c r="K890" s="155">
        <f t="shared" ref="K890:K953" si="178">P890-1</f>
        <v>-1</v>
      </c>
      <c r="N890" s="139">
        <f t="shared" si="176"/>
        <v>0</v>
      </c>
      <c r="O890" s="139">
        <f t="shared" si="177"/>
        <v>1</v>
      </c>
      <c r="P890" s="155"/>
      <c r="Q890" s="186"/>
      <c r="R890" s="186" t="s">
        <v>873</v>
      </c>
      <c r="S890" s="139"/>
      <c r="V890" s="139"/>
    </row>
    <row r="891" spans="4:22">
      <c r="D891" s="139"/>
      <c r="E891" s="141" t="s">
        <v>1829</v>
      </c>
      <c r="F891" s="141" t="s">
        <v>1756</v>
      </c>
      <c r="G891" s="154" t="str">
        <f t="shared" si="172"/>
        <v>/</v>
      </c>
      <c r="H891" s="141" t="str">
        <f t="shared" si="173"/>
        <v>/</v>
      </c>
      <c r="I891" s="139" t="e">
        <f t="shared" si="174"/>
        <v>#NUM!</v>
      </c>
      <c r="J891" s="139" t="e">
        <f t="shared" si="175"/>
        <v>#NUM!</v>
      </c>
      <c r="K891" s="155">
        <f t="shared" si="178"/>
        <v>-1</v>
      </c>
      <c r="N891" s="139">
        <f t="shared" si="176"/>
        <v>0</v>
      </c>
      <c r="O891" s="139">
        <f t="shared" si="177"/>
        <v>1</v>
      </c>
      <c r="P891" s="155"/>
      <c r="Q891" s="186"/>
      <c r="R891" s="186" t="s">
        <v>873</v>
      </c>
      <c r="S891" s="139"/>
      <c r="V891" s="139"/>
    </row>
    <row r="892" spans="4:22">
      <c r="D892" s="139"/>
      <c r="E892" s="141" t="s">
        <v>1829</v>
      </c>
      <c r="F892" s="141" t="s">
        <v>1756</v>
      </c>
      <c r="G892" s="154" t="str">
        <f t="shared" si="172"/>
        <v>/</v>
      </c>
      <c r="H892" s="141" t="str">
        <f t="shared" si="173"/>
        <v>/</v>
      </c>
      <c r="I892" s="139" t="e">
        <f t="shared" si="174"/>
        <v>#NUM!</v>
      </c>
      <c r="J892" s="139" t="e">
        <f t="shared" si="175"/>
        <v>#NUM!</v>
      </c>
      <c r="K892" s="155">
        <f t="shared" si="178"/>
        <v>-1</v>
      </c>
      <c r="N892" s="139">
        <f t="shared" si="176"/>
        <v>0</v>
      </c>
      <c r="O892" s="139">
        <f t="shared" si="177"/>
        <v>1</v>
      </c>
      <c r="P892" s="155"/>
      <c r="Q892" s="186"/>
      <c r="R892" s="186" t="s">
        <v>873</v>
      </c>
      <c r="S892" s="139"/>
      <c r="V892" s="139"/>
    </row>
    <row r="893" spans="4:22">
      <c r="D893" s="139"/>
      <c r="E893" s="141" t="s">
        <v>1829</v>
      </c>
      <c r="F893" s="141" t="s">
        <v>1756</v>
      </c>
      <c r="G893" s="154" t="str">
        <f t="shared" si="172"/>
        <v>/</v>
      </c>
      <c r="H893" s="141" t="str">
        <f t="shared" si="173"/>
        <v>/</v>
      </c>
      <c r="I893" s="139" t="e">
        <f t="shared" si="174"/>
        <v>#NUM!</v>
      </c>
      <c r="J893" s="139" t="e">
        <f t="shared" si="175"/>
        <v>#NUM!</v>
      </c>
      <c r="K893" s="155">
        <f t="shared" si="178"/>
        <v>-1</v>
      </c>
      <c r="N893" s="139">
        <f t="shared" si="176"/>
        <v>0</v>
      </c>
      <c r="O893" s="139">
        <f t="shared" si="177"/>
        <v>1</v>
      </c>
      <c r="P893" s="155"/>
      <c r="Q893" s="186"/>
      <c r="R893" s="186" t="s">
        <v>873</v>
      </c>
      <c r="S893" s="139"/>
      <c r="V893" s="139"/>
    </row>
    <row r="894" spans="4:22">
      <c r="D894" s="139"/>
      <c r="E894" s="141" t="s">
        <v>1829</v>
      </c>
      <c r="F894" s="141" t="s">
        <v>1756</v>
      </c>
      <c r="G894" s="154" t="str">
        <f t="shared" si="172"/>
        <v>/</v>
      </c>
      <c r="H894" s="141" t="str">
        <f t="shared" si="173"/>
        <v>/</v>
      </c>
      <c r="I894" s="139" t="e">
        <f t="shared" si="174"/>
        <v>#NUM!</v>
      </c>
      <c r="J894" s="139" t="e">
        <f t="shared" si="175"/>
        <v>#NUM!</v>
      </c>
      <c r="K894" s="155">
        <f t="shared" si="178"/>
        <v>-1</v>
      </c>
      <c r="N894" s="139">
        <f t="shared" si="176"/>
        <v>0</v>
      </c>
      <c r="O894" s="139">
        <f t="shared" si="177"/>
        <v>1</v>
      </c>
      <c r="P894" s="155"/>
      <c r="Q894" s="186"/>
      <c r="R894" s="186" t="s">
        <v>873</v>
      </c>
      <c r="S894" s="139"/>
      <c r="V894" s="139"/>
    </row>
    <row r="895" spans="4:22">
      <c r="D895" s="139"/>
      <c r="E895" s="141" t="s">
        <v>1829</v>
      </c>
      <c r="F895" s="141" t="s">
        <v>1756</v>
      </c>
      <c r="G895" s="154" t="str">
        <f t="shared" si="172"/>
        <v>/</v>
      </c>
      <c r="H895" s="141" t="str">
        <f t="shared" si="173"/>
        <v>/</v>
      </c>
      <c r="I895" s="139" t="e">
        <f t="shared" si="174"/>
        <v>#NUM!</v>
      </c>
      <c r="J895" s="139" t="e">
        <f t="shared" si="175"/>
        <v>#NUM!</v>
      </c>
      <c r="K895" s="155">
        <f t="shared" si="178"/>
        <v>-1</v>
      </c>
      <c r="N895" s="139">
        <f t="shared" si="176"/>
        <v>0</v>
      </c>
      <c r="O895" s="139">
        <f t="shared" si="177"/>
        <v>1</v>
      </c>
      <c r="P895" s="155"/>
      <c r="Q895" s="186"/>
      <c r="R895" s="186" t="s">
        <v>873</v>
      </c>
      <c r="S895" s="139"/>
      <c r="V895" s="139"/>
    </row>
    <row r="896" spans="4:22">
      <c r="D896" s="139"/>
      <c r="E896" s="141" t="s">
        <v>1829</v>
      </c>
      <c r="F896" s="141" t="s">
        <v>1756</v>
      </c>
      <c r="G896" s="154" t="str">
        <f t="shared" si="172"/>
        <v>/</v>
      </c>
      <c r="H896" s="141" t="str">
        <f t="shared" si="173"/>
        <v>/</v>
      </c>
      <c r="I896" s="139" t="e">
        <f t="shared" si="174"/>
        <v>#NUM!</v>
      </c>
      <c r="J896" s="139" t="e">
        <f t="shared" si="175"/>
        <v>#NUM!</v>
      </c>
      <c r="K896" s="155">
        <f t="shared" si="178"/>
        <v>-1</v>
      </c>
      <c r="N896" s="139">
        <f t="shared" si="176"/>
        <v>0</v>
      </c>
      <c r="O896" s="139">
        <f t="shared" si="177"/>
        <v>1</v>
      </c>
      <c r="P896" s="155"/>
      <c r="Q896" s="186"/>
      <c r="R896" s="186" t="s">
        <v>873</v>
      </c>
      <c r="S896" s="139"/>
      <c r="V896" s="139"/>
    </row>
    <row r="897" spans="4:22">
      <c r="D897" s="139"/>
      <c r="E897" s="141" t="s">
        <v>1829</v>
      </c>
      <c r="F897" s="141" t="s">
        <v>1756</v>
      </c>
      <c r="G897" s="154" t="str">
        <f t="shared" ref="G897:G960" si="179">A897&amp;"/"&amp;B897</f>
        <v>/</v>
      </c>
      <c r="H897" s="141" t="str">
        <f t="shared" ref="H897:H960" si="180">A897&amp;"/"&amp;B897</f>
        <v>/</v>
      </c>
      <c r="I897" s="139" t="e">
        <f t="shared" si="174"/>
        <v>#NUM!</v>
      </c>
      <c r="J897" s="139" t="e">
        <f t="shared" si="175"/>
        <v>#NUM!</v>
      </c>
      <c r="K897" s="155">
        <f t="shared" si="178"/>
        <v>-1</v>
      </c>
      <c r="N897" s="139">
        <f t="shared" si="176"/>
        <v>0</v>
      </c>
      <c r="O897" s="139">
        <f t="shared" si="177"/>
        <v>1</v>
      </c>
      <c r="P897" s="155"/>
      <c r="Q897" s="186"/>
      <c r="R897" s="186" t="s">
        <v>873</v>
      </c>
      <c r="S897" s="139"/>
      <c r="V897" s="139"/>
    </row>
    <row r="898" spans="4:22">
      <c r="D898" s="139"/>
      <c r="E898" s="141" t="s">
        <v>1829</v>
      </c>
      <c r="F898" s="141" t="s">
        <v>1756</v>
      </c>
      <c r="G898" s="154" t="str">
        <f t="shared" si="179"/>
        <v>/</v>
      </c>
      <c r="H898" s="141" t="str">
        <f t="shared" si="180"/>
        <v>/</v>
      </c>
      <c r="I898" s="139" t="e">
        <f t="shared" si="174"/>
        <v>#NUM!</v>
      </c>
      <c r="J898" s="139" t="e">
        <f t="shared" si="175"/>
        <v>#NUM!</v>
      </c>
      <c r="K898" s="155">
        <f t="shared" si="178"/>
        <v>-1</v>
      </c>
      <c r="N898" s="139">
        <f t="shared" si="176"/>
        <v>0</v>
      </c>
      <c r="O898" s="139">
        <f t="shared" si="177"/>
        <v>1</v>
      </c>
      <c r="P898" s="155"/>
      <c r="Q898" s="186"/>
      <c r="R898" s="186" t="s">
        <v>873</v>
      </c>
      <c r="S898" s="139"/>
      <c r="V898" s="139"/>
    </row>
    <row r="899" spans="4:22">
      <c r="D899" s="139"/>
      <c r="E899" s="141" t="s">
        <v>1829</v>
      </c>
      <c r="F899" s="141" t="s">
        <v>1756</v>
      </c>
      <c r="G899" s="154" t="str">
        <f t="shared" si="179"/>
        <v>/</v>
      </c>
      <c r="H899" s="141" t="str">
        <f t="shared" si="180"/>
        <v>/</v>
      </c>
      <c r="I899" s="139" t="e">
        <f t="shared" si="174"/>
        <v>#NUM!</v>
      </c>
      <c r="J899" s="139" t="e">
        <f t="shared" si="175"/>
        <v>#NUM!</v>
      </c>
      <c r="K899" s="155">
        <f t="shared" si="178"/>
        <v>-1</v>
      </c>
      <c r="N899" s="139">
        <f t="shared" si="176"/>
        <v>0</v>
      </c>
      <c r="O899" s="139">
        <f t="shared" si="177"/>
        <v>1</v>
      </c>
      <c r="P899" s="155"/>
      <c r="Q899" s="186"/>
      <c r="R899" s="186" t="s">
        <v>873</v>
      </c>
      <c r="S899" s="139"/>
      <c r="V899" s="139"/>
    </row>
    <row r="900" spans="4:22">
      <c r="D900" s="139"/>
      <c r="E900" s="141" t="s">
        <v>1829</v>
      </c>
      <c r="F900" s="141" t="s">
        <v>1756</v>
      </c>
      <c r="G900" s="154" t="str">
        <f t="shared" si="179"/>
        <v>/</v>
      </c>
      <c r="H900" s="141" t="str">
        <f t="shared" si="180"/>
        <v>/</v>
      </c>
      <c r="I900" s="139" t="e">
        <f t="shared" si="174"/>
        <v>#NUM!</v>
      </c>
      <c r="J900" s="139" t="e">
        <f t="shared" si="175"/>
        <v>#NUM!</v>
      </c>
      <c r="K900" s="155">
        <f t="shared" si="178"/>
        <v>-1</v>
      </c>
      <c r="M900" s="140"/>
      <c r="N900" s="139">
        <f t="shared" si="176"/>
        <v>0</v>
      </c>
      <c r="O900" s="139">
        <f t="shared" si="177"/>
        <v>1</v>
      </c>
      <c r="Q900" s="186"/>
      <c r="R900" s="186" t="s">
        <v>873</v>
      </c>
      <c r="S900" s="139"/>
      <c r="V900" s="139"/>
    </row>
    <row r="901" spans="4:22">
      <c r="D901" s="139"/>
      <c r="E901" s="141" t="s">
        <v>1829</v>
      </c>
      <c r="F901" s="141" t="s">
        <v>1756</v>
      </c>
      <c r="G901" s="154" t="str">
        <f t="shared" si="179"/>
        <v>/</v>
      </c>
      <c r="H901" s="141" t="str">
        <f t="shared" si="180"/>
        <v>/</v>
      </c>
      <c r="I901" s="139" t="e">
        <f t="shared" si="174"/>
        <v>#NUM!</v>
      </c>
      <c r="J901" s="139" t="e">
        <f t="shared" si="175"/>
        <v>#NUM!</v>
      </c>
      <c r="K901" s="155">
        <f t="shared" si="178"/>
        <v>-1</v>
      </c>
      <c r="N901" s="139">
        <f t="shared" si="176"/>
        <v>0</v>
      </c>
      <c r="O901" s="139">
        <f t="shared" si="177"/>
        <v>1</v>
      </c>
      <c r="P901" s="155"/>
      <c r="Q901" s="186"/>
      <c r="R901" s="186" t="s">
        <v>873</v>
      </c>
      <c r="S901" s="139"/>
      <c r="V901" s="139"/>
    </row>
    <row r="902" spans="4:22">
      <c r="D902" s="139"/>
      <c r="E902" s="141" t="s">
        <v>1829</v>
      </c>
      <c r="F902" s="141" t="s">
        <v>1756</v>
      </c>
      <c r="G902" s="154" t="str">
        <f t="shared" si="179"/>
        <v>/</v>
      </c>
      <c r="H902" s="141" t="str">
        <f t="shared" si="180"/>
        <v>/</v>
      </c>
      <c r="I902" s="139" t="e">
        <f t="shared" si="174"/>
        <v>#NUM!</v>
      </c>
      <c r="J902" s="139" t="e">
        <f t="shared" si="175"/>
        <v>#NUM!</v>
      </c>
      <c r="K902" s="155">
        <f t="shared" si="178"/>
        <v>-1</v>
      </c>
      <c r="N902" s="139">
        <f t="shared" si="176"/>
        <v>0</v>
      </c>
      <c r="O902" s="139">
        <f t="shared" si="177"/>
        <v>1</v>
      </c>
      <c r="P902" s="155"/>
      <c r="Q902" s="186"/>
      <c r="R902" s="186" t="s">
        <v>873</v>
      </c>
      <c r="S902" s="139"/>
      <c r="V902" s="139"/>
    </row>
    <row r="903" spans="4:22">
      <c r="D903" s="139"/>
      <c r="E903" s="141" t="s">
        <v>1829</v>
      </c>
      <c r="F903" s="141" t="s">
        <v>1756</v>
      </c>
      <c r="G903" s="154" t="str">
        <f t="shared" si="179"/>
        <v>/</v>
      </c>
      <c r="H903" s="141" t="str">
        <f t="shared" si="180"/>
        <v>/</v>
      </c>
      <c r="I903" s="139" t="e">
        <f t="shared" si="174"/>
        <v>#NUM!</v>
      </c>
      <c r="J903" s="139" t="e">
        <f t="shared" si="175"/>
        <v>#NUM!</v>
      </c>
      <c r="K903" s="155">
        <f t="shared" si="178"/>
        <v>-1</v>
      </c>
      <c r="N903" s="139">
        <f t="shared" si="176"/>
        <v>0</v>
      </c>
      <c r="O903" s="139">
        <f t="shared" si="177"/>
        <v>1</v>
      </c>
      <c r="P903" s="155"/>
      <c r="Q903" s="186"/>
      <c r="R903" s="186" t="s">
        <v>873</v>
      </c>
      <c r="S903" s="139"/>
      <c r="V903" s="139"/>
    </row>
    <row r="904" spans="4:22">
      <c r="D904" s="139"/>
      <c r="E904" s="141" t="s">
        <v>1829</v>
      </c>
      <c r="F904" s="141" t="s">
        <v>1756</v>
      </c>
      <c r="G904" s="154" t="str">
        <f t="shared" si="179"/>
        <v>/</v>
      </c>
      <c r="H904" s="141" t="str">
        <f t="shared" si="180"/>
        <v>/</v>
      </c>
      <c r="I904" s="139" t="e">
        <f t="shared" si="174"/>
        <v>#NUM!</v>
      </c>
      <c r="J904" s="139" t="e">
        <f t="shared" si="175"/>
        <v>#NUM!</v>
      </c>
      <c r="K904" s="155">
        <f t="shared" si="178"/>
        <v>-1</v>
      </c>
      <c r="N904" s="139">
        <f t="shared" si="176"/>
        <v>0</v>
      </c>
      <c r="O904" s="139">
        <f t="shared" si="177"/>
        <v>1</v>
      </c>
      <c r="P904" s="155"/>
      <c r="Q904" s="186"/>
      <c r="R904" s="186" t="s">
        <v>873</v>
      </c>
      <c r="S904" s="139"/>
      <c r="V904" s="139"/>
    </row>
    <row r="905" spans="4:22">
      <c r="D905" s="139"/>
      <c r="E905" s="141" t="s">
        <v>1829</v>
      </c>
      <c r="F905" s="141" t="s">
        <v>1756</v>
      </c>
      <c r="G905" s="154" t="str">
        <f t="shared" si="179"/>
        <v>/</v>
      </c>
      <c r="H905" s="141" t="str">
        <f t="shared" si="180"/>
        <v>/</v>
      </c>
      <c r="I905" s="139" t="e">
        <f t="shared" si="174"/>
        <v>#NUM!</v>
      </c>
      <c r="J905" s="139" t="e">
        <f t="shared" si="175"/>
        <v>#NUM!</v>
      </c>
      <c r="K905" s="155">
        <f t="shared" si="178"/>
        <v>-1</v>
      </c>
      <c r="N905" s="139">
        <f t="shared" si="176"/>
        <v>0</v>
      </c>
      <c r="O905" s="139">
        <f t="shared" si="177"/>
        <v>1</v>
      </c>
      <c r="P905" s="155"/>
      <c r="Q905" s="186"/>
      <c r="R905" s="186" t="s">
        <v>873</v>
      </c>
      <c r="S905" s="139"/>
      <c r="V905" s="139"/>
    </row>
    <row r="906" spans="4:22">
      <c r="D906" s="139"/>
      <c r="E906" s="141" t="s">
        <v>1829</v>
      </c>
      <c r="F906" s="141" t="s">
        <v>1756</v>
      </c>
      <c r="G906" s="154" t="str">
        <f t="shared" si="179"/>
        <v>/</v>
      </c>
      <c r="H906" s="141" t="str">
        <f t="shared" si="180"/>
        <v>/</v>
      </c>
      <c r="I906" s="139" t="e">
        <f t="shared" si="174"/>
        <v>#NUM!</v>
      </c>
      <c r="J906" s="139" t="e">
        <f t="shared" si="175"/>
        <v>#NUM!</v>
      </c>
      <c r="K906" s="155">
        <f t="shared" si="178"/>
        <v>-1</v>
      </c>
      <c r="N906" s="139">
        <f t="shared" si="176"/>
        <v>0</v>
      </c>
      <c r="O906" s="139">
        <f t="shared" si="177"/>
        <v>1</v>
      </c>
      <c r="P906" s="155"/>
      <c r="Q906" s="186"/>
      <c r="R906" s="186" t="s">
        <v>873</v>
      </c>
      <c r="S906" s="139"/>
      <c r="V906" s="139"/>
    </row>
    <row r="907" spans="4:22">
      <c r="D907" s="139"/>
      <c r="E907" s="141" t="s">
        <v>1829</v>
      </c>
      <c r="F907" s="141" t="s">
        <v>1756</v>
      </c>
      <c r="G907" s="154" t="str">
        <f t="shared" si="179"/>
        <v>/</v>
      </c>
      <c r="H907" s="141" t="str">
        <f t="shared" si="180"/>
        <v>/</v>
      </c>
      <c r="I907" s="139" t="e">
        <f t="shared" si="174"/>
        <v>#NUM!</v>
      </c>
      <c r="J907" s="139" t="e">
        <f t="shared" si="175"/>
        <v>#NUM!</v>
      </c>
      <c r="K907" s="155">
        <f t="shared" si="178"/>
        <v>-1</v>
      </c>
      <c r="N907" s="139">
        <f t="shared" si="176"/>
        <v>0</v>
      </c>
      <c r="O907" s="139">
        <f t="shared" si="177"/>
        <v>1</v>
      </c>
      <c r="P907" s="155"/>
      <c r="Q907" s="186"/>
      <c r="R907" s="186" t="s">
        <v>873</v>
      </c>
      <c r="S907" s="139"/>
      <c r="V907" s="139"/>
    </row>
    <row r="908" spans="4:22">
      <c r="D908" s="139"/>
      <c r="E908" s="141" t="s">
        <v>1829</v>
      </c>
      <c r="F908" s="141" t="s">
        <v>1756</v>
      </c>
      <c r="G908" s="154" t="str">
        <f t="shared" si="179"/>
        <v>/</v>
      </c>
      <c r="H908" s="141" t="str">
        <f t="shared" si="180"/>
        <v>/</v>
      </c>
      <c r="I908" s="139" t="e">
        <f t="shared" si="174"/>
        <v>#NUM!</v>
      </c>
      <c r="J908" s="139" t="e">
        <f t="shared" si="175"/>
        <v>#NUM!</v>
      </c>
      <c r="K908" s="155">
        <f t="shared" si="178"/>
        <v>-1</v>
      </c>
      <c r="N908" s="139">
        <f t="shared" si="176"/>
        <v>0</v>
      </c>
      <c r="O908" s="139">
        <f t="shared" si="177"/>
        <v>1</v>
      </c>
      <c r="P908" s="155"/>
      <c r="Q908" s="186"/>
      <c r="R908" s="186" t="s">
        <v>873</v>
      </c>
      <c r="S908" s="139"/>
      <c r="V908" s="139"/>
    </row>
    <row r="909" spans="4:22">
      <c r="D909" s="139"/>
      <c r="E909" s="141" t="s">
        <v>1829</v>
      </c>
      <c r="F909" s="141" t="s">
        <v>1756</v>
      </c>
      <c r="G909" s="154" t="str">
        <f t="shared" si="179"/>
        <v>/</v>
      </c>
      <c r="H909" s="141" t="str">
        <f t="shared" si="180"/>
        <v>/</v>
      </c>
      <c r="I909" s="139" t="e">
        <f t="shared" si="174"/>
        <v>#NUM!</v>
      </c>
      <c r="J909" s="139" t="e">
        <f t="shared" si="175"/>
        <v>#NUM!</v>
      </c>
      <c r="K909" s="155">
        <f t="shared" si="178"/>
        <v>-1</v>
      </c>
      <c r="N909" s="139">
        <f t="shared" si="176"/>
        <v>0</v>
      </c>
      <c r="O909" s="139">
        <f t="shared" si="177"/>
        <v>1</v>
      </c>
      <c r="P909" s="155"/>
      <c r="Q909" s="186"/>
      <c r="R909" s="186" t="s">
        <v>873</v>
      </c>
      <c r="S909" s="139"/>
      <c r="V909" s="139"/>
    </row>
    <row r="910" spans="4:22">
      <c r="D910" s="139"/>
      <c r="E910" s="141" t="s">
        <v>1829</v>
      </c>
      <c r="F910" s="141" t="s">
        <v>1756</v>
      </c>
      <c r="G910" s="154" t="str">
        <f t="shared" si="179"/>
        <v>/</v>
      </c>
      <c r="H910" s="141" t="str">
        <f t="shared" si="180"/>
        <v>/</v>
      </c>
      <c r="I910" s="139" t="e">
        <f t="shared" si="174"/>
        <v>#NUM!</v>
      </c>
      <c r="J910" s="139" t="e">
        <f t="shared" si="175"/>
        <v>#NUM!</v>
      </c>
      <c r="K910" s="155">
        <f t="shared" si="178"/>
        <v>-1</v>
      </c>
      <c r="N910" s="139">
        <f t="shared" si="176"/>
        <v>0</v>
      </c>
      <c r="O910" s="139">
        <f t="shared" si="177"/>
        <v>1</v>
      </c>
      <c r="P910" s="155"/>
      <c r="Q910" s="186"/>
      <c r="R910" s="186" t="s">
        <v>873</v>
      </c>
      <c r="S910" s="139"/>
      <c r="V910" s="139"/>
    </row>
    <row r="911" spans="4:22">
      <c r="D911" s="139"/>
      <c r="E911" s="141" t="s">
        <v>1829</v>
      </c>
      <c r="F911" s="141" t="s">
        <v>1756</v>
      </c>
      <c r="G911" s="154" t="str">
        <f t="shared" si="179"/>
        <v>/</v>
      </c>
      <c r="H911" s="141" t="str">
        <f t="shared" si="180"/>
        <v>/</v>
      </c>
      <c r="I911" s="139" t="e">
        <f t="shared" si="174"/>
        <v>#NUM!</v>
      </c>
      <c r="J911" s="139" t="e">
        <f t="shared" si="175"/>
        <v>#NUM!</v>
      </c>
      <c r="K911" s="155">
        <f t="shared" si="178"/>
        <v>-1</v>
      </c>
      <c r="N911" s="139">
        <f t="shared" si="176"/>
        <v>0</v>
      </c>
      <c r="O911" s="139">
        <f t="shared" si="177"/>
        <v>1</v>
      </c>
      <c r="P911" s="155"/>
      <c r="Q911" s="186"/>
      <c r="R911" s="186" t="s">
        <v>873</v>
      </c>
      <c r="S911" s="139"/>
      <c r="V911" s="139"/>
    </row>
    <row r="912" spans="4:22">
      <c r="D912" s="139"/>
      <c r="E912" s="141" t="s">
        <v>1829</v>
      </c>
      <c r="F912" s="141" t="s">
        <v>1756</v>
      </c>
      <c r="G912" s="154" t="str">
        <f t="shared" si="179"/>
        <v>/</v>
      </c>
      <c r="H912" s="141" t="str">
        <f t="shared" si="180"/>
        <v>/</v>
      </c>
      <c r="I912" s="139" t="e">
        <f t="shared" si="174"/>
        <v>#NUM!</v>
      </c>
      <c r="J912" s="139" t="e">
        <f t="shared" si="175"/>
        <v>#NUM!</v>
      </c>
      <c r="K912" s="155">
        <f t="shared" si="178"/>
        <v>-1</v>
      </c>
      <c r="N912" s="139">
        <f t="shared" si="176"/>
        <v>0</v>
      </c>
      <c r="O912" s="139">
        <f t="shared" si="177"/>
        <v>1</v>
      </c>
      <c r="P912" s="155"/>
      <c r="Q912" s="186"/>
      <c r="R912" s="186" t="s">
        <v>873</v>
      </c>
      <c r="S912" s="139"/>
      <c r="V912" s="139"/>
    </row>
    <row r="913" spans="4:22">
      <c r="D913" s="139"/>
      <c r="E913" s="141" t="s">
        <v>1829</v>
      </c>
      <c r="F913" s="141" t="s">
        <v>1756</v>
      </c>
      <c r="G913" s="154" t="str">
        <f t="shared" si="179"/>
        <v>/</v>
      </c>
      <c r="H913" s="141" t="str">
        <f t="shared" si="180"/>
        <v>/</v>
      </c>
      <c r="I913" s="139" t="e">
        <f t="shared" si="174"/>
        <v>#NUM!</v>
      </c>
      <c r="J913" s="139" t="e">
        <f t="shared" si="175"/>
        <v>#NUM!</v>
      </c>
      <c r="K913" s="155">
        <f t="shared" si="178"/>
        <v>-1</v>
      </c>
      <c r="N913" s="139">
        <f t="shared" si="176"/>
        <v>0</v>
      </c>
      <c r="O913" s="139">
        <f t="shared" si="177"/>
        <v>1</v>
      </c>
      <c r="P913" s="155"/>
      <c r="Q913" s="186"/>
      <c r="R913" s="186" t="s">
        <v>873</v>
      </c>
      <c r="S913" s="139"/>
      <c r="V913" s="139"/>
    </row>
    <row r="914" spans="4:22">
      <c r="D914" s="139"/>
      <c r="E914" s="141" t="s">
        <v>1829</v>
      </c>
      <c r="F914" s="141" t="s">
        <v>1756</v>
      </c>
      <c r="G914" s="154" t="str">
        <f t="shared" si="179"/>
        <v>/</v>
      </c>
      <c r="H914" s="141" t="str">
        <f t="shared" si="180"/>
        <v>/</v>
      </c>
      <c r="I914" s="139" t="e">
        <f t="shared" si="174"/>
        <v>#NUM!</v>
      </c>
      <c r="J914" s="139" t="e">
        <f t="shared" si="175"/>
        <v>#NUM!</v>
      </c>
      <c r="K914" s="155">
        <f t="shared" si="178"/>
        <v>-1</v>
      </c>
      <c r="N914" s="139">
        <f t="shared" si="176"/>
        <v>0</v>
      </c>
      <c r="O914" s="139">
        <f t="shared" si="177"/>
        <v>1</v>
      </c>
      <c r="P914" s="155"/>
      <c r="Q914" s="186"/>
      <c r="R914" s="186" t="s">
        <v>873</v>
      </c>
      <c r="S914" s="139"/>
      <c r="V914" s="139"/>
    </row>
    <row r="915" spans="4:22">
      <c r="D915" s="139"/>
      <c r="E915" s="141" t="s">
        <v>1829</v>
      </c>
      <c r="F915" s="141" t="s">
        <v>1756</v>
      </c>
      <c r="G915" s="154" t="str">
        <f t="shared" si="179"/>
        <v>/</v>
      </c>
      <c r="H915" s="141" t="str">
        <f t="shared" si="180"/>
        <v>/</v>
      </c>
      <c r="I915" s="139" t="e">
        <f t="shared" si="174"/>
        <v>#NUM!</v>
      </c>
      <c r="J915" s="139" t="e">
        <f t="shared" si="175"/>
        <v>#NUM!</v>
      </c>
      <c r="K915" s="155">
        <f t="shared" si="178"/>
        <v>-1</v>
      </c>
      <c r="N915" s="139">
        <f t="shared" si="176"/>
        <v>0</v>
      </c>
      <c r="O915" s="139">
        <f t="shared" si="177"/>
        <v>1</v>
      </c>
      <c r="P915" s="155"/>
      <c r="Q915" s="186"/>
      <c r="R915" s="186" t="s">
        <v>873</v>
      </c>
      <c r="S915" s="139"/>
      <c r="V915" s="139"/>
    </row>
    <row r="916" spans="4:22">
      <c r="D916" s="139"/>
      <c r="E916" s="141" t="s">
        <v>1829</v>
      </c>
      <c r="F916" s="141" t="s">
        <v>1756</v>
      </c>
      <c r="G916" s="154" t="str">
        <f t="shared" si="179"/>
        <v>/</v>
      </c>
      <c r="H916" s="141" t="str">
        <f t="shared" si="180"/>
        <v>/</v>
      </c>
      <c r="I916" s="139" t="e">
        <f t="shared" si="174"/>
        <v>#NUM!</v>
      </c>
      <c r="J916" s="139" t="e">
        <f t="shared" si="175"/>
        <v>#NUM!</v>
      </c>
      <c r="K916" s="155">
        <f t="shared" si="178"/>
        <v>-1</v>
      </c>
      <c r="N916" s="139">
        <f t="shared" si="176"/>
        <v>0</v>
      </c>
      <c r="O916" s="139">
        <f t="shared" si="177"/>
        <v>1</v>
      </c>
      <c r="P916" s="155"/>
      <c r="Q916" s="186"/>
      <c r="R916" s="186" t="s">
        <v>873</v>
      </c>
      <c r="S916" s="139"/>
      <c r="V916" s="139"/>
    </row>
    <row r="917" spans="4:22">
      <c r="D917" s="139"/>
      <c r="E917" s="141" t="s">
        <v>1829</v>
      </c>
      <c r="F917" s="141" t="s">
        <v>1756</v>
      </c>
      <c r="G917" s="154" t="str">
        <f t="shared" si="179"/>
        <v>/</v>
      </c>
      <c r="H917" s="141" t="str">
        <f t="shared" si="180"/>
        <v>/</v>
      </c>
      <c r="I917" s="139" t="e">
        <f t="shared" si="174"/>
        <v>#NUM!</v>
      </c>
      <c r="J917" s="139" t="e">
        <f t="shared" si="175"/>
        <v>#NUM!</v>
      </c>
      <c r="K917" s="155">
        <f t="shared" si="178"/>
        <v>-1</v>
      </c>
      <c r="N917" s="139">
        <f t="shared" si="176"/>
        <v>0</v>
      </c>
      <c r="O917" s="139">
        <f t="shared" si="177"/>
        <v>1</v>
      </c>
      <c r="P917" s="155"/>
      <c r="Q917" s="186"/>
      <c r="R917" s="186" t="s">
        <v>873</v>
      </c>
      <c r="S917" s="139"/>
      <c r="V917" s="139"/>
    </row>
    <row r="918" spans="4:22">
      <c r="D918" s="139"/>
      <c r="E918" s="141" t="s">
        <v>1829</v>
      </c>
      <c r="F918" s="141" t="s">
        <v>1756</v>
      </c>
      <c r="G918" s="154" t="str">
        <f t="shared" si="179"/>
        <v>/</v>
      </c>
      <c r="H918" s="141" t="str">
        <f t="shared" si="180"/>
        <v>/</v>
      </c>
      <c r="I918" s="139" t="e">
        <f t="shared" si="174"/>
        <v>#NUM!</v>
      </c>
      <c r="J918" s="139" t="e">
        <f t="shared" si="175"/>
        <v>#NUM!</v>
      </c>
      <c r="K918" s="155">
        <f t="shared" si="178"/>
        <v>-1</v>
      </c>
      <c r="N918" s="139">
        <f t="shared" si="176"/>
        <v>0</v>
      </c>
      <c r="O918" s="139">
        <f t="shared" si="177"/>
        <v>1</v>
      </c>
      <c r="P918" s="155"/>
      <c r="Q918" s="186"/>
      <c r="R918" s="186" t="s">
        <v>873</v>
      </c>
      <c r="S918" s="139"/>
      <c r="V918" s="139"/>
    </row>
    <row r="919" spans="4:22">
      <c r="D919" s="139"/>
      <c r="E919" s="141" t="s">
        <v>1829</v>
      </c>
      <c r="F919" s="141" t="s">
        <v>1756</v>
      </c>
      <c r="G919" s="154" t="str">
        <f t="shared" si="179"/>
        <v>/</v>
      </c>
      <c r="H919" s="141" t="str">
        <f t="shared" si="180"/>
        <v>/</v>
      </c>
      <c r="I919" s="139" t="e">
        <f t="shared" si="174"/>
        <v>#NUM!</v>
      </c>
      <c r="J919" s="139" t="e">
        <f t="shared" si="175"/>
        <v>#NUM!</v>
      </c>
      <c r="K919" s="155">
        <f t="shared" si="178"/>
        <v>-1</v>
      </c>
      <c r="N919" s="139">
        <f t="shared" si="176"/>
        <v>0</v>
      </c>
      <c r="O919" s="139">
        <f t="shared" si="177"/>
        <v>1</v>
      </c>
      <c r="P919" s="155"/>
      <c r="Q919" s="186"/>
      <c r="R919" s="186" t="s">
        <v>873</v>
      </c>
      <c r="S919" s="139"/>
      <c r="V919" s="139"/>
    </row>
    <row r="920" spans="4:22">
      <c r="D920" s="139"/>
      <c r="E920" s="141" t="s">
        <v>1829</v>
      </c>
      <c r="F920" s="141" t="s">
        <v>1756</v>
      </c>
      <c r="G920" s="154" t="str">
        <f t="shared" si="179"/>
        <v>/</v>
      </c>
      <c r="H920" s="141" t="str">
        <f t="shared" si="180"/>
        <v>/</v>
      </c>
      <c r="I920" s="139" t="e">
        <f t="shared" si="174"/>
        <v>#NUM!</v>
      </c>
      <c r="J920" s="139" t="e">
        <f t="shared" si="175"/>
        <v>#NUM!</v>
      </c>
      <c r="K920" s="155">
        <f t="shared" si="178"/>
        <v>-1</v>
      </c>
      <c r="N920" s="139">
        <f t="shared" si="176"/>
        <v>0</v>
      </c>
      <c r="O920" s="139">
        <f t="shared" si="177"/>
        <v>1</v>
      </c>
      <c r="P920" s="155"/>
      <c r="Q920" s="186"/>
      <c r="R920" s="186" t="s">
        <v>873</v>
      </c>
      <c r="S920" s="139"/>
      <c r="V920" s="139"/>
    </row>
    <row r="921" spans="4:22">
      <c r="D921" s="139"/>
      <c r="E921" s="141" t="s">
        <v>1829</v>
      </c>
      <c r="F921" s="141" t="s">
        <v>1756</v>
      </c>
      <c r="G921" s="154" t="str">
        <f t="shared" si="179"/>
        <v>/</v>
      </c>
      <c r="H921" s="141" t="str">
        <f t="shared" si="180"/>
        <v>/</v>
      </c>
      <c r="I921" s="139" t="e">
        <f t="shared" si="174"/>
        <v>#NUM!</v>
      </c>
      <c r="J921" s="139" t="e">
        <f t="shared" si="175"/>
        <v>#NUM!</v>
      </c>
      <c r="K921" s="155">
        <f t="shared" si="178"/>
        <v>-1</v>
      </c>
      <c r="N921" s="139">
        <f t="shared" si="176"/>
        <v>0</v>
      </c>
      <c r="O921" s="139">
        <f t="shared" si="177"/>
        <v>1</v>
      </c>
      <c r="P921" s="155"/>
      <c r="Q921" s="186"/>
      <c r="R921" s="186" t="s">
        <v>873</v>
      </c>
      <c r="S921" s="139"/>
      <c r="V921" s="139"/>
    </row>
    <row r="922" spans="4:22">
      <c r="D922" s="139"/>
      <c r="E922" s="141" t="s">
        <v>1829</v>
      </c>
      <c r="F922" s="141" t="s">
        <v>1756</v>
      </c>
      <c r="G922" s="154" t="str">
        <f t="shared" si="179"/>
        <v>/</v>
      </c>
      <c r="H922" s="141" t="str">
        <f t="shared" si="180"/>
        <v>/</v>
      </c>
      <c r="I922" s="139" t="e">
        <f t="shared" si="174"/>
        <v>#NUM!</v>
      </c>
      <c r="J922" s="139" t="e">
        <f t="shared" si="175"/>
        <v>#NUM!</v>
      </c>
      <c r="K922" s="155">
        <f t="shared" si="178"/>
        <v>-1</v>
      </c>
      <c r="N922" s="139">
        <f t="shared" si="176"/>
        <v>0</v>
      </c>
      <c r="O922" s="139">
        <f t="shared" si="177"/>
        <v>1</v>
      </c>
      <c r="P922" s="155"/>
      <c r="Q922" s="186"/>
      <c r="R922" s="186" t="s">
        <v>873</v>
      </c>
      <c r="S922" s="139"/>
      <c r="V922" s="139"/>
    </row>
    <row r="923" spans="4:22">
      <c r="D923" s="139"/>
      <c r="E923" s="141" t="s">
        <v>1829</v>
      </c>
      <c r="F923" s="141" t="s">
        <v>1756</v>
      </c>
      <c r="G923" s="154" t="str">
        <f t="shared" si="179"/>
        <v>/</v>
      </c>
      <c r="H923" s="141" t="str">
        <f t="shared" si="180"/>
        <v>/</v>
      </c>
      <c r="I923" s="139" t="e">
        <f t="shared" si="174"/>
        <v>#NUM!</v>
      </c>
      <c r="J923" s="139" t="e">
        <f t="shared" si="175"/>
        <v>#NUM!</v>
      </c>
      <c r="K923" s="155">
        <f t="shared" si="178"/>
        <v>-1</v>
      </c>
      <c r="N923" s="139">
        <f t="shared" si="176"/>
        <v>0</v>
      </c>
      <c r="O923" s="139">
        <f t="shared" si="177"/>
        <v>1</v>
      </c>
      <c r="P923" s="155"/>
      <c r="Q923" s="186"/>
      <c r="R923" s="186" t="s">
        <v>873</v>
      </c>
      <c r="S923" s="139"/>
      <c r="V923" s="139"/>
    </row>
    <row r="924" spans="4:22">
      <c r="D924" s="139"/>
      <c r="E924" s="141" t="s">
        <v>1829</v>
      </c>
      <c r="F924" s="141" t="s">
        <v>1756</v>
      </c>
      <c r="G924" s="154" t="str">
        <f t="shared" si="179"/>
        <v>/</v>
      </c>
      <c r="H924" s="141" t="str">
        <f t="shared" si="180"/>
        <v>/</v>
      </c>
      <c r="I924" s="139" t="e">
        <f t="shared" si="174"/>
        <v>#NUM!</v>
      </c>
      <c r="J924" s="139" t="e">
        <f t="shared" si="175"/>
        <v>#NUM!</v>
      </c>
      <c r="K924" s="155">
        <f t="shared" si="178"/>
        <v>-1</v>
      </c>
      <c r="N924" s="139">
        <f t="shared" si="176"/>
        <v>0</v>
      </c>
      <c r="O924" s="139">
        <f t="shared" si="177"/>
        <v>1</v>
      </c>
      <c r="P924" s="155"/>
      <c r="Q924" s="186"/>
      <c r="R924" s="186" t="s">
        <v>873</v>
      </c>
      <c r="S924" s="139"/>
      <c r="V924" s="139"/>
    </row>
    <row r="925" spans="4:22">
      <c r="D925" s="139"/>
      <c r="E925" s="141" t="s">
        <v>1829</v>
      </c>
      <c r="F925" s="141" t="s">
        <v>1756</v>
      </c>
      <c r="G925" s="154" t="str">
        <f t="shared" si="179"/>
        <v>/</v>
      </c>
      <c r="H925" s="141" t="str">
        <f t="shared" si="180"/>
        <v>/</v>
      </c>
      <c r="I925" s="139" t="e">
        <f t="shared" si="174"/>
        <v>#NUM!</v>
      </c>
      <c r="J925" s="139" t="e">
        <f t="shared" si="175"/>
        <v>#NUM!</v>
      </c>
      <c r="K925" s="155">
        <f t="shared" si="178"/>
        <v>-1</v>
      </c>
      <c r="N925" s="139">
        <f t="shared" si="176"/>
        <v>0</v>
      </c>
      <c r="O925" s="139">
        <f t="shared" si="177"/>
        <v>1</v>
      </c>
      <c r="P925" s="155"/>
      <c r="Q925" s="186"/>
      <c r="R925" s="186" t="s">
        <v>873</v>
      </c>
      <c r="S925" s="139"/>
      <c r="V925" s="139"/>
    </row>
    <row r="926" spans="4:22">
      <c r="D926" s="139"/>
      <c r="E926" s="141" t="s">
        <v>1829</v>
      </c>
      <c r="F926" s="141" t="s">
        <v>1756</v>
      </c>
      <c r="G926" s="154" t="str">
        <f t="shared" si="179"/>
        <v>/</v>
      </c>
      <c r="H926" s="141" t="str">
        <f t="shared" si="180"/>
        <v>/</v>
      </c>
      <c r="I926" s="139" t="e">
        <f t="shared" si="174"/>
        <v>#NUM!</v>
      </c>
      <c r="J926" s="139" t="e">
        <f t="shared" si="175"/>
        <v>#NUM!</v>
      </c>
      <c r="K926" s="155">
        <f t="shared" si="178"/>
        <v>-1</v>
      </c>
      <c r="N926" s="139">
        <f t="shared" si="176"/>
        <v>0</v>
      </c>
      <c r="O926" s="139">
        <f t="shared" si="177"/>
        <v>1</v>
      </c>
      <c r="P926" s="155"/>
      <c r="Q926" s="186"/>
      <c r="R926" s="186" t="s">
        <v>873</v>
      </c>
      <c r="S926" s="139"/>
      <c r="V926" s="139"/>
    </row>
    <row r="927" spans="4:22">
      <c r="D927" s="139"/>
      <c r="E927" s="141" t="s">
        <v>1829</v>
      </c>
      <c r="F927" s="141" t="s">
        <v>1756</v>
      </c>
      <c r="G927" s="154" t="str">
        <f t="shared" si="179"/>
        <v>/</v>
      </c>
      <c r="H927" s="141" t="str">
        <f t="shared" si="180"/>
        <v>/</v>
      </c>
      <c r="I927" s="139" t="e">
        <f t="shared" si="174"/>
        <v>#NUM!</v>
      </c>
      <c r="J927" s="139" t="e">
        <f t="shared" si="175"/>
        <v>#NUM!</v>
      </c>
      <c r="K927" s="155">
        <f t="shared" si="178"/>
        <v>-1</v>
      </c>
      <c r="N927" s="139">
        <f t="shared" si="176"/>
        <v>0</v>
      </c>
      <c r="O927" s="139">
        <f t="shared" si="177"/>
        <v>1</v>
      </c>
      <c r="P927" s="155"/>
      <c r="Q927" s="186"/>
      <c r="R927" s="186" t="s">
        <v>873</v>
      </c>
      <c r="S927" s="139"/>
      <c r="V927" s="139"/>
    </row>
    <row r="928" spans="4:22">
      <c r="D928" s="139"/>
      <c r="E928" s="141" t="s">
        <v>1829</v>
      </c>
      <c r="F928" s="141" t="s">
        <v>1756</v>
      </c>
      <c r="G928" s="154" t="str">
        <f t="shared" si="179"/>
        <v>/</v>
      </c>
      <c r="H928" s="141" t="str">
        <f t="shared" si="180"/>
        <v>/</v>
      </c>
      <c r="I928" s="139" t="e">
        <f t="shared" si="174"/>
        <v>#NUM!</v>
      </c>
      <c r="J928" s="139" t="e">
        <f t="shared" si="175"/>
        <v>#NUM!</v>
      </c>
      <c r="K928" s="155">
        <f t="shared" si="178"/>
        <v>-1</v>
      </c>
      <c r="N928" s="139">
        <f t="shared" si="176"/>
        <v>0</v>
      </c>
      <c r="O928" s="139">
        <f t="shared" si="177"/>
        <v>1</v>
      </c>
      <c r="P928" s="155"/>
      <c r="Q928" s="186"/>
      <c r="R928" s="186" t="s">
        <v>873</v>
      </c>
      <c r="S928" s="139"/>
      <c r="V928" s="139"/>
    </row>
    <row r="929" spans="4:22">
      <c r="D929" s="139"/>
      <c r="E929" s="141" t="s">
        <v>1829</v>
      </c>
      <c r="F929" s="141" t="s">
        <v>1756</v>
      </c>
      <c r="G929" s="154" t="str">
        <f t="shared" si="179"/>
        <v>/</v>
      </c>
      <c r="H929" s="141" t="str">
        <f t="shared" si="180"/>
        <v>/</v>
      </c>
      <c r="I929" s="139" t="e">
        <f t="shared" si="174"/>
        <v>#NUM!</v>
      </c>
      <c r="J929" s="139" t="e">
        <f t="shared" si="175"/>
        <v>#NUM!</v>
      </c>
      <c r="K929" s="155">
        <f t="shared" si="178"/>
        <v>-1</v>
      </c>
      <c r="N929" s="139">
        <f t="shared" si="176"/>
        <v>0</v>
      </c>
      <c r="O929" s="139">
        <f t="shared" si="177"/>
        <v>1</v>
      </c>
      <c r="P929" s="155"/>
      <c r="Q929" s="186"/>
      <c r="R929" s="186" t="s">
        <v>873</v>
      </c>
      <c r="S929" s="139"/>
      <c r="V929" s="139"/>
    </row>
    <row r="930" spans="4:22">
      <c r="D930" s="139"/>
      <c r="E930" s="141" t="s">
        <v>1829</v>
      </c>
      <c r="F930" s="141" t="s">
        <v>1756</v>
      </c>
      <c r="G930" s="154" t="str">
        <f t="shared" si="179"/>
        <v>/</v>
      </c>
      <c r="H930" s="141" t="str">
        <f t="shared" si="180"/>
        <v>/</v>
      </c>
      <c r="I930" s="139" t="e">
        <f t="shared" si="174"/>
        <v>#NUM!</v>
      </c>
      <c r="J930" s="139" t="e">
        <f t="shared" si="175"/>
        <v>#NUM!</v>
      </c>
      <c r="K930" s="155">
        <f t="shared" si="178"/>
        <v>-1</v>
      </c>
      <c r="N930" s="139">
        <f t="shared" si="176"/>
        <v>0</v>
      </c>
      <c r="O930" s="139">
        <f t="shared" si="177"/>
        <v>1</v>
      </c>
      <c r="P930" s="155"/>
      <c r="Q930" s="186"/>
      <c r="R930" s="186" t="s">
        <v>873</v>
      </c>
      <c r="S930" s="139"/>
      <c r="V930" s="139"/>
    </row>
    <row r="931" spans="4:22">
      <c r="D931" s="139"/>
      <c r="E931" s="141" t="s">
        <v>1829</v>
      </c>
      <c r="F931" s="141" t="s">
        <v>1756</v>
      </c>
      <c r="G931" s="154" t="str">
        <f t="shared" si="179"/>
        <v>/</v>
      </c>
      <c r="H931" s="141" t="str">
        <f t="shared" si="180"/>
        <v>/</v>
      </c>
      <c r="I931" s="139" t="e">
        <f t="shared" si="174"/>
        <v>#NUM!</v>
      </c>
      <c r="J931" s="139" t="e">
        <f t="shared" si="175"/>
        <v>#NUM!</v>
      </c>
      <c r="K931" s="155">
        <f t="shared" si="178"/>
        <v>-1</v>
      </c>
      <c r="N931" s="139">
        <f t="shared" si="176"/>
        <v>0</v>
      </c>
      <c r="O931" s="139">
        <f t="shared" si="177"/>
        <v>1</v>
      </c>
      <c r="P931" s="155"/>
      <c r="Q931" s="186"/>
      <c r="R931" s="186" t="s">
        <v>873</v>
      </c>
      <c r="S931" s="139"/>
      <c r="V931" s="139"/>
    </row>
    <row r="932" spans="4:22">
      <c r="D932" s="139"/>
      <c r="E932" s="141" t="s">
        <v>1829</v>
      </c>
      <c r="F932" s="141" t="s">
        <v>1756</v>
      </c>
      <c r="G932" s="154" t="str">
        <f t="shared" si="179"/>
        <v>/</v>
      </c>
      <c r="H932" s="141" t="str">
        <f t="shared" si="180"/>
        <v>/</v>
      </c>
      <c r="I932" s="139" t="e">
        <f t="shared" si="174"/>
        <v>#NUM!</v>
      </c>
      <c r="J932" s="139" t="e">
        <f t="shared" si="175"/>
        <v>#NUM!</v>
      </c>
      <c r="K932" s="155">
        <f t="shared" si="178"/>
        <v>-1</v>
      </c>
      <c r="N932" s="139">
        <f t="shared" si="176"/>
        <v>0</v>
      </c>
      <c r="O932" s="139">
        <f t="shared" si="177"/>
        <v>1</v>
      </c>
      <c r="P932" s="155"/>
      <c r="Q932" s="186"/>
      <c r="R932" s="186" t="s">
        <v>873</v>
      </c>
      <c r="S932" s="139"/>
      <c r="V932" s="139"/>
    </row>
    <row r="933" spans="4:22">
      <c r="D933" s="139"/>
      <c r="E933" s="141" t="s">
        <v>1829</v>
      </c>
      <c r="F933" s="141" t="s">
        <v>1756</v>
      </c>
      <c r="G933" s="154" t="str">
        <f t="shared" si="179"/>
        <v>/</v>
      </c>
      <c r="H933" s="141" t="str">
        <f t="shared" si="180"/>
        <v>/</v>
      </c>
      <c r="I933" s="139" t="e">
        <f t="shared" si="174"/>
        <v>#NUM!</v>
      </c>
      <c r="J933" s="139" t="e">
        <f t="shared" si="175"/>
        <v>#NUM!</v>
      </c>
      <c r="K933" s="155">
        <f t="shared" si="178"/>
        <v>-1</v>
      </c>
      <c r="N933" s="139">
        <f t="shared" si="176"/>
        <v>0</v>
      </c>
      <c r="O933" s="139">
        <f t="shared" si="177"/>
        <v>1</v>
      </c>
      <c r="P933" s="155"/>
      <c r="Q933" s="186"/>
      <c r="R933" s="186" t="s">
        <v>873</v>
      </c>
      <c r="S933" s="139"/>
      <c r="V933" s="139"/>
    </row>
    <row r="934" spans="4:22">
      <c r="D934" s="139"/>
      <c r="E934" s="141" t="s">
        <v>1829</v>
      </c>
      <c r="F934" s="141" t="s">
        <v>1756</v>
      </c>
      <c r="G934" s="154" t="str">
        <f t="shared" si="179"/>
        <v>/</v>
      </c>
      <c r="H934" s="141" t="str">
        <f t="shared" si="180"/>
        <v>/</v>
      </c>
      <c r="I934" s="139" t="e">
        <f t="shared" si="174"/>
        <v>#NUM!</v>
      </c>
      <c r="J934" s="139" t="e">
        <f t="shared" si="175"/>
        <v>#NUM!</v>
      </c>
      <c r="K934" s="155">
        <f t="shared" si="178"/>
        <v>-1</v>
      </c>
      <c r="N934" s="139">
        <f t="shared" si="176"/>
        <v>0</v>
      </c>
      <c r="O934" s="139">
        <f t="shared" si="177"/>
        <v>1</v>
      </c>
      <c r="P934" s="155"/>
      <c r="Q934" s="186"/>
      <c r="R934" s="186" t="s">
        <v>873</v>
      </c>
      <c r="S934" s="139"/>
      <c r="V934" s="139"/>
    </row>
    <row r="935" spans="4:22">
      <c r="D935" s="139"/>
      <c r="E935" s="141" t="s">
        <v>1829</v>
      </c>
      <c r="F935" s="141" t="s">
        <v>1756</v>
      </c>
      <c r="G935" s="154" t="str">
        <f t="shared" si="179"/>
        <v>/</v>
      </c>
      <c r="H935" s="141" t="str">
        <f t="shared" si="180"/>
        <v>/</v>
      </c>
      <c r="I935" s="139" t="e">
        <f t="shared" si="174"/>
        <v>#NUM!</v>
      </c>
      <c r="J935" s="139" t="e">
        <f t="shared" si="175"/>
        <v>#NUM!</v>
      </c>
      <c r="K935" s="155">
        <f t="shared" si="178"/>
        <v>-1</v>
      </c>
      <c r="N935" s="139">
        <f t="shared" si="176"/>
        <v>0</v>
      </c>
      <c r="O935" s="139">
        <f t="shared" si="177"/>
        <v>1</v>
      </c>
      <c r="P935" s="155"/>
      <c r="Q935" s="186"/>
      <c r="R935" s="186" t="s">
        <v>873</v>
      </c>
      <c r="S935" s="139"/>
      <c r="V935" s="139"/>
    </row>
    <row r="936" spans="4:22">
      <c r="D936" s="139"/>
      <c r="E936" s="141" t="s">
        <v>1829</v>
      </c>
      <c r="F936" s="141" t="s">
        <v>1756</v>
      </c>
      <c r="G936" s="154" t="str">
        <f t="shared" si="179"/>
        <v>/</v>
      </c>
      <c r="H936" s="141" t="str">
        <f t="shared" si="180"/>
        <v>/</v>
      </c>
      <c r="I936" s="139" t="e">
        <f t="shared" si="174"/>
        <v>#NUM!</v>
      </c>
      <c r="J936" s="139" t="e">
        <f t="shared" si="175"/>
        <v>#NUM!</v>
      </c>
      <c r="K936" s="155">
        <f t="shared" si="178"/>
        <v>-1</v>
      </c>
      <c r="N936" s="139">
        <f t="shared" si="176"/>
        <v>0</v>
      </c>
      <c r="O936" s="139">
        <f t="shared" si="177"/>
        <v>1</v>
      </c>
      <c r="P936" s="155"/>
      <c r="Q936" s="186"/>
      <c r="R936" s="186" t="s">
        <v>873</v>
      </c>
      <c r="S936" s="139"/>
      <c r="V936" s="139"/>
    </row>
    <row r="937" spans="4:22">
      <c r="D937" s="139"/>
      <c r="E937" s="141" t="s">
        <v>1829</v>
      </c>
      <c r="F937" s="141" t="s">
        <v>1756</v>
      </c>
      <c r="G937" s="154" t="str">
        <f t="shared" si="179"/>
        <v>/</v>
      </c>
      <c r="H937" s="141" t="str">
        <f t="shared" si="180"/>
        <v>/</v>
      </c>
      <c r="I937" s="139" t="e">
        <f t="shared" si="174"/>
        <v>#NUM!</v>
      </c>
      <c r="J937" s="139" t="e">
        <f t="shared" si="175"/>
        <v>#NUM!</v>
      </c>
      <c r="K937" s="155">
        <f t="shared" si="178"/>
        <v>-1</v>
      </c>
      <c r="N937" s="139">
        <f t="shared" si="176"/>
        <v>0</v>
      </c>
      <c r="O937" s="139">
        <f t="shared" si="177"/>
        <v>1</v>
      </c>
      <c r="P937" s="155"/>
      <c r="Q937" s="186"/>
      <c r="R937" s="186" t="s">
        <v>873</v>
      </c>
      <c r="S937" s="139"/>
      <c r="V937" s="139"/>
    </row>
    <row r="938" spans="4:22">
      <c r="D938" s="139"/>
      <c r="E938" s="141" t="s">
        <v>1829</v>
      </c>
      <c r="F938" s="141" t="s">
        <v>1756</v>
      </c>
      <c r="G938" s="154" t="str">
        <f t="shared" si="179"/>
        <v>/</v>
      </c>
      <c r="H938" s="141" t="str">
        <f t="shared" si="180"/>
        <v>/</v>
      </c>
      <c r="I938" s="139" t="e">
        <f t="shared" si="174"/>
        <v>#NUM!</v>
      </c>
      <c r="J938" s="139" t="e">
        <f t="shared" si="175"/>
        <v>#NUM!</v>
      </c>
      <c r="K938" s="155">
        <f t="shared" si="178"/>
        <v>-1</v>
      </c>
      <c r="N938" s="139">
        <f t="shared" si="176"/>
        <v>0</v>
      </c>
      <c r="O938" s="139">
        <f t="shared" si="177"/>
        <v>1</v>
      </c>
      <c r="P938" s="155"/>
      <c r="Q938" s="186"/>
      <c r="R938" s="186" t="s">
        <v>873</v>
      </c>
      <c r="S938" s="139"/>
      <c r="V938" s="139"/>
    </row>
    <row r="939" spans="4:22">
      <c r="D939" s="139"/>
      <c r="E939" s="141" t="s">
        <v>1829</v>
      </c>
      <c r="F939" s="141" t="s">
        <v>1756</v>
      </c>
      <c r="G939" s="154" t="str">
        <f t="shared" si="179"/>
        <v>/</v>
      </c>
      <c r="H939" s="141" t="str">
        <f t="shared" si="180"/>
        <v>/</v>
      </c>
      <c r="I939" s="139" t="e">
        <f t="shared" si="174"/>
        <v>#NUM!</v>
      </c>
      <c r="J939" s="139" t="e">
        <f t="shared" si="175"/>
        <v>#NUM!</v>
      </c>
      <c r="K939" s="155">
        <f t="shared" si="178"/>
        <v>-1</v>
      </c>
      <c r="N939" s="139">
        <f t="shared" si="176"/>
        <v>0</v>
      </c>
      <c r="O939" s="139">
        <f t="shared" si="177"/>
        <v>1</v>
      </c>
      <c r="P939" s="155"/>
      <c r="Q939" s="186"/>
      <c r="R939" s="186" t="s">
        <v>873</v>
      </c>
      <c r="S939" s="139"/>
      <c r="V939" s="139"/>
    </row>
    <row r="940" spans="4:22">
      <c r="D940" s="139"/>
      <c r="E940" s="141" t="s">
        <v>1829</v>
      </c>
      <c r="F940" s="141" t="s">
        <v>1756</v>
      </c>
      <c r="G940" s="154" t="str">
        <f t="shared" si="179"/>
        <v>/</v>
      </c>
      <c r="H940" s="141" t="str">
        <f t="shared" si="180"/>
        <v>/</v>
      </c>
      <c r="I940" s="139" t="e">
        <f t="shared" si="174"/>
        <v>#NUM!</v>
      </c>
      <c r="J940" s="139" t="e">
        <f t="shared" si="175"/>
        <v>#NUM!</v>
      </c>
      <c r="K940" s="155">
        <f t="shared" si="178"/>
        <v>-1</v>
      </c>
      <c r="N940" s="139">
        <f t="shared" si="176"/>
        <v>0</v>
      </c>
      <c r="O940" s="139">
        <f t="shared" si="177"/>
        <v>1</v>
      </c>
      <c r="P940" s="155"/>
      <c r="Q940" s="186"/>
      <c r="R940" s="186" t="s">
        <v>873</v>
      </c>
      <c r="S940" s="139"/>
      <c r="V940" s="139"/>
    </row>
    <row r="941" spans="4:22">
      <c r="D941" s="139"/>
      <c r="E941" s="141" t="s">
        <v>1829</v>
      </c>
      <c r="F941" s="141" t="s">
        <v>1756</v>
      </c>
      <c r="G941" s="154" t="str">
        <f t="shared" si="179"/>
        <v>/</v>
      </c>
      <c r="H941" s="141" t="str">
        <f t="shared" si="180"/>
        <v>/</v>
      </c>
      <c r="I941" s="139" t="e">
        <f t="shared" si="174"/>
        <v>#NUM!</v>
      </c>
      <c r="J941" s="139" t="e">
        <f t="shared" si="175"/>
        <v>#NUM!</v>
      </c>
      <c r="K941" s="155">
        <f t="shared" si="178"/>
        <v>-1</v>
      </c>
      <c r="N941" s="139">
        <f t="shared" si="176"/>
        <v>0</v>
      </c>
      <c r="O941" s="139">
        <f t="shared" si="177"/>
        <v>1</v>
      </c>
      <c r="P941" s="155"/>
      <c r="Q941" s="186"/>
      <c r="R941" s="186" t="s">
        <v>873</v>
      </c>
      <c r="S941" s="139"/>
      <c r="V941" s="139"/>
    </row>
    <row r="942" spans="4:22">
      <c r="D942" s="139"/>
      <c r="E942" s="141" t="s">
        <v>1829</v>
      </c>
      <c r="F942" s="141" t="s">
        <v>1756</v>
      </c>
      <c r="G942" s="154" t="str">
        <f t="shared" si="179"/>
        <v>/</v>
      </c>
      <c r="H942" s="141" t="str">
        <f t="shared" si="180"/>
        <v>/</v>
      </c>
      <c r="I942" s="139" t="e">
        <f t="shared" si="174"/>
        <v>#NUM!</v>
      </c>
      <c r="J942" s="139" t="e">
        <f t="shared" si="175"/>
        <v>#NUM!</v>
      </c>
      <c r="K942" s="155">
        <f t="shared" si="178"/>
        <v>-1</v>
      </c>
      <c r="N942" s="139">
        <f t="shared" si="176"/>
        <v>0</v>
      </c>
      <c r="O942" s="139">
        <f t="shared" si="177"/>
        <v>1</v>
      </c>
      <c r="P942" s="155"/>
      <c r="Q942" s="186"/>
      <c r="R942" s="186" t="s">
        <v>873</v>
      </c>
      <c r="S942" s="139"/>
      <c r="V942" s="139"/>
    </row>
    <row r="943" spans="4:22">
      <c r="D943" s="139"/>
      <c r="E943" s="141" t="s">
        <v>1829</v>
      </c>
      <c r="F943" s="141" t="s">
        <v>1756</v>
      </c>
      <c r="G943" s="154" t="str">
        <f t="shared" si="179"/>
        <v>/</v>
      </c>
      <c r="H943" s="141" t="str">
        <f t="shared" si="180"/>
        <v>/</v>
      </c>
      <c r="I943" s="139" t="e">
        <f t="shared" si="174"/>
        <v>#NUM!</v>
      </c>
      <c r="J943" s="139" t="e">
        <f t="shared" si="175"/>
        <v>#NUM!</v>
      </c>
      <c r="K943" s="155">
        <f t="shared" si="178"/>
        <v>-1</v>
      </c>
      <c r="N943" s="139">
        <f t="shared" si="176"/>
        <v>0</v>
      </c>
      <c r="O943" s="139">
        <f t="shared" si="177"/>
        <v>1</v>
      </c>
      <c r="P943" s="155"/>
      <c r="Q943" s="186"/>
      <c r="R943" s="186" t="s">
        <v>873</v>
      </c>
      <c r="S943" s="139"/>
      <c r="V943" s="139"/>
    </row>
    <row r="944" spans="4:22">
      <c r="D944" s="139"/>
      <c r="E944" s="141" t="s">
        <v>1829</v>
      </c>
      <c r="F944" s="141" t="s">
        <v>1756</v>
      </c>
      <c r="G944" s="154" t="str">
        <f t="shared" si="179"/>
        <v>/</v>
      </c>
      <c r="H944" s="141" t="str">
        <f t="shared" si="180"/>
        <v>/</v>
      </c>
      <c r="I944" s="139" t="e">
        <f t="shared" si="174"/>
        <v>#NUM!</v>
      </c>
      <c r="J944" s="139" t="e">
        <f t="shared" si="175"/>
        <v>#NUM!</v>
      </c>
      <c r="K944" s="155">
        <f t="shared" si="178"/>
        <v>-1</v>
      </c>
      <c r="N944" s="139">
        <f t="shared" si="176"/>
        <v>0</v>
      </c>
      <c r="O944" s="139">
        <f t="shared" si="177"/>
        <v>1</v>
      </c>
      <c r="P944" s="155"/>
      <c r="Q944" s="186"/>
      <c r="R944" s="186" t="s">
        <v>873</v>
      </c>
      <c r="S944" s="139"/>
      <c r="V944" s="139"/>
    </row>
    <row r="945" spans="4:22">
      <c r="D945" s="139"/>
      <c r="E945" s="141" t="s">
        <v>1829</v>
      </c>
      <c r="F945" s="141" t="s">
        <v>1756</v>
      </c>
      <c r="G945" s="154" t="str">
        <f t="shared" si="179"/>
        <v>/</v>
      </c>
      <c r="H945" s="141" t="str">
        <f t="shared" si="180"/>
        <v>/</v>
      </c>
      <c r="I945" s="139" t="e">
        <f t="shared" si="174"/>
        <v>#NUM!</v>
      </c>
      <c r="J945" s="139" t="e">
        <f t="shared" si="175"/>
        <v>#NUM!</v>
      </c>
      <c r="K945" s="155">
        <f t="shared" si="178"/>
        <v>-1</v>
      </c>
      <c r="N945" s="139">
        <f t="shared" si="176"/>
        <v>0</v>
      </c>
      <c r="O945" s="139">
        <f t="shared" si="177"/>
        <v>1</v>
      </c>
      <c r="P945" s="155"/>
      <c r="Q945" s="186"/>
      <c r="R945" s="186" t="s">
        <v>873</v>
      </c>
      <c r="S945" s="139"/>
      <c r="V945" s="139"/>
    </row>
    <row r="946" spans="4:22">
      <c r="D946" s="139"/>
      <c r="E946" s="141" t="s">
        <v>1829</v>
      </c>
      <c r="F946" s="141" t="s">
        <v>1756</v>
      </c>
      <c r="G946" s="154" t="str">
        <f t="shared" si="179"/>
        <v>/</v>
      </c>
      <c r="H946" s="141" t="str">
        <f t="shared" si="180"/>
        <v>/</v>
      </c>
      <c r="I946" s="139" t="e">
        <f t="shared" si="174"/>
        <v>#NUM!</v>
      </c>
      <c r="J946" s="139" t="e">
        <f t="shared" si="175"/>
        <v>#NUM!</v>
      </c>
      <c r="K946" s="155">
        <f t="shared" si="178"/>
        <v>-1</v>
      </c>
      <c r="N946" s="139">
        <f t="shared" si="176"/>
        <v>0</v>
      </c>
      <c r="O946" s="139">
        <f t="shared" si="177"/>
        <v>1</v>
      </c>
      <c r="P946" s="155"/>
      <c r="Q946" s="186"/>
      <c r="R946" s="186" t="s">
        <v>873</v>
      </c>
      <c r="S946" s="139"/>
      <c r="V946" s="139"/>
    </row>
    <row r="947" spans="4:22">
      <c r="D947" s="139"/>
      <c r="E947" s="141" t="s">
        <v>1829</v>
      </c>
      <c r="F947" s="141" t="s">
        <v>1756</v>
      </c>
      <c r="G947" s="154" t="str">
        <f t="shared" si="179"/>
        <v>/</v>
      </c>
      <c r="H947" s="141" t="str">
        <f t="shared" si="180"/>
        <v>/</v>
      </c>
      <c r="I947" s="139" t="e">
        <f t="shared" ref="I947:I1010" si="181">DAY(K947)</f>
        <v>#NUM!</v>
      </c>
      <c r="J947" s="139" t="e">
        <f t="shared" ref="J947:J1010" si="182">MONTH(K947)</f>
        <v>#NUM!</v>
      </c>
      <c r="K947" s="155">
        <f t="shared" si="178"/>
        <v>-1</v>
      </c>
      <c r="N947" s="139">
        <f t="shared" ref="N947:N1010" si="183">DAY(P947)</f>
        <v>0</v>
      </c>
      <c r="O947" s="139">
        <f t="shared" ref="O947:O1010" si="184">MONTH(P947)</f>
        <v>1</v>
      </c>
      <c r="P947" s="155"/>
      <c r="Q947" s="186"/>
      <c r="R947" s="186" t="s">
        <v>873</v>
      </c>
      <c r="S947" s="139"/>
      <c r="V947" s="139"/>
    </row>
    <row r="948" spans="4:22">
      <c r="D948" s="139"/>
      <c r="E948" s="141" t="s">
        <v>1829</v>
      </c>
      <c r="F948" s="141" t="s">
        <v>1756</v>
      </c>
      <c r="G948" s="154" t="str">
        <f t="shared" si="179"/>
        <v>/</v>
      </c>
      <c r="H948" s="141" t="str">
        <f t="shared" si="180"/>
        <v>/</v>
      </c>
      <c r="I948" s="139" t="e">
        <f t="shared" si="181"/>
        <v>#NUM!</v>
      </c>
      <c r="J948" s="139" t="e">
        <f t="shared" si="182"/>
        <v>#NUM!</v>
      </c>
      <c r="K948" s="155">
        <f t="shared" si="178"/>
        <v>-1</v>
      </c>
      <c r="N948" s="139">
        <f t="shared" si="183"/>
        <v>0</v>
      </c>
      <c r="O948" s="139">
        <f t="shared" si="184"/>
        <v>1</v>
      </c>
      <c r="P948" s="155"/>
      <c r="Q948" s="186"/>
      <c r="R948" s="186" t="s">
        <v>873</v>
      </c>
      <c r="S948" s="139"/>
      <c r="V948" s="139"/>
    </row>
    <row r="949" spans="4:22">
      <c r="D949" s="139"/>
      <c r="E949" s="141" t="s">
        <v>1829</v>
      </c>
      <c r="F949" s="141" t="s">
        <v>1756</v>
      </c>
      <c r="G949" s="154" t="str">
        <f t="shared" si="179"/>
        <v>/</v>
      </c>
      <c r="H949" s="141" t="str">
        <f t="shared" si="180"/>
        <v>/</v>
      </c>
      <c r="I949" s="139" t="e">
        <f t="shared" si="181"/>
        <v>#NUM!</v>
      </c>
      <c r="J949" s="139" t="e">
        <f t="shared" si="182"/>
        <v>#NUM!</v>
      </c>
      <c r="K949" s="155">
        <f t="shared" si="178"/>
        <v>-1</v>
      </c>
      <c r="N949" s="139">
        <f t="shared" si="183"/>
        <v>0</v>
      </c>
      <c r="O949" s="139">
        <f t="shared" si="184"/>
        <v>1</v>
      </c>
      <c r="P949" s="155"/>
      <c r="Q949" s="186"/>
      <c r="R949" s="186" t="s">
        <v>873</v>
      </c>
      <c r="S949" s="139"/>
      <c r="V949" s="139"/>
    </row>
    <row r="950" spans="4:22">
      <c r="D950" s="139"/>
      <c r="E950" s="141" t="s">
        <v>1829</v>
      </c>
      <c r="F950" s="141" t="s">
        <v>1756</v>
      </c>
      <c r="G950" s="154" t="str">
        <f t="shared" si="179"/>
        <v>/</v>
      </c>
      <c r="H950" s="141" t="str">
        <f t="shared" si="180"/>
        <v>/</v>
      </c>
      <c r="I950" s="139" t="e">
        <f t="shared" si="181"/>
        <v>#NUM!</v>
      </c>
      <c r="J950" s="139" t="e">
        <f t="shared" si="182"/>
        <v>#NUM!</v>
      </c>
      <c r="K950" s="155">
        <f t="shared" si="178"/>
        <v>-1</v>
      </c>
      <c r="N950" s="139">
        <f t="shared" si="183"/>
        <v>0</v>
      </c>
      <c r="O950" s="139">
        <f t="shared" si="184"/>
        <v>1</v>
      </c>
      <c r="P950" s="155"/>
      <c r="Q950" s="186"/>
      <c r="R950" s="186" t="s">
        <v>873</v>
      </c>
      <c r="S950" s="139"/>
      <c r="V950" s="139"/>
    </row>
    <row r="951" spans="4:22">
      <c r="D951" s="139"/>
      <c r="E951" s="141" t="s">
        <v>1829</v>
      </c>
      <c r="F951" s="141" t="s">
        <v>1756</v>
      </c>
      <c r="G951" s="154" t="str">
        <f t="shared" si="179"/>
        <v>/</v>
      </c>
      <c r="H951" s="141" t="str">
        <f t="shared" si="180"/>
        <v>/</v>
      </c>
      <c r="I951" s="139" t="e">
        <f t="shared" si="181"/>
        <v>#NUM!</v>
      </c>
      <c r="J951" s="139" t="e">
        <f t="shared" si="182"/>
        <v>#NUM!</v>
      </c>
      <c r="K951" s="155">
        <f t="shared" si="178"/>
        <v>-1</v>
      </c>
      <c r="N951" s="139">
        <f t="shared" si="183"/>
        <v>0</v>
      </c>
      <c r="O951" s="139">
        <f t="shared" si="184"/>
        <v>1</v>
      </c>
      <c r="P951" s="155"/>
      <c r="Q951" s="186"/>
      <c r="R951" s="186" t="s">
        <v>873</v>
      </c>
      <c r="S951" s="139"/>
      <c r="V951" s="139"/>
    </row>
    <row r="952" spans="4:22">
      <c r="D952" s="139"/>
      <c r="E952" s="141" t="s">
        <v>1829</v>
      </c>
      <c r="F952" s="141" t="s">
        <v>1756</v>
      </c>
      <c r="G952" s="154" t="str">
        <f t="shared" si="179"/>
        <v>/</v>
      </c>
      <c r="H952" s="141" t="str">
        <f t="shared" si="180"/>
        <v>/</v>
      </c>
      <c r="I952" s="139" t="e">
        <f t="shared" si="181"/>
        <v>#NUM!</v>
      </c>
      <c r="J952" s="139" t="e">
        <f t="shared" si="182"/>
        <v>#NUM!</v>
      </c>
      <c r="K952" s="155">
        <f t="shared" si="178"/>
        <v>-1</v>
      </c>
      <c r="N952" s="139">
        <f t="shared" si="183"/>
        <v>0</v>
      </c>
      <c r="O952" s="139">
        <f t="shared" si="184"/>
        <v>1</v>
      </c>
      <c r="P952" s="155"/>
      <c r="Q952" s="186"/>
      <c r="R952" s="186" t="s">
        <v>873</v>
      </c>
      <c r="S952" s="139"/>
      <c r="V952" s="139"/>
    </row>
    <row r="953" spans="4:22">
      <c r="D953" s="139"/>
      <c r="E953" s="141" t="s">
        <v>1829</v>
      </c>
      <c r="F953" s="141" t="s">
        <v>1756</v>
      </c>
      <c r="G953" s="154" t="str">
        <f t="shared" si="179"/>
        <v>/</v>
      </c>
      <c r="H953" s="141" t="str">
        <f t="shared" si="180"/>
        <v>/</v>
      </c>
      <c r="I953" s="139" t="e">
        <f t="shared" si="181"/>
        <v>#NUM!</v>
      </c>
      <c r="J953" s="139" t="e">
        <f t="shared" si="182"/>
        <v>#NUM!</v>
      </c>
      <c r="K953" s="155">
        <f t="shared" si="178"/>
        <v>-1</v>
      </c>
      <c r="N953" s="139">
        <f t="shared" si="183"/>
        <v>0</v>
      </c>
      <c r="O953" s="139">
        <f t="shared" si="184"/>
        <v>1</v>
      </c>
      <c r="P953" s="155"/>
      <c r="Q953" s="186"/>
      <c r="R953" s="186" t="s">
        <v>873</v>
      </c>
      <c r="S953" s="139"/>
      <c r="V953" s="139"/>
    </row>
    <row r="954" spans="4:22">
      <c r="D954" s="139"/>
      <c r="E954" s="141" t="s">
        <v>1829</v>
      </c>
      <c r="F954" s="141" t="s">
        <v>1756</v>
      </c>
      <c r="G954" s="154" t="str">
        <f t="shared" si="179"/>
        <v>/</v>
      </c>
      <c r="H954" s="141" t="str">
        <f t="shared" si="180"/>
        <v>/</v>
      </c>
      <c r="I954" s="139" t="e">
        <f t="shared" si="181"/>
        <v>#NUM!</v>
      </c>
      <c r="J954" s="139" t="e">
        <f t="shared" si="182"/>
        <v>#NUM!</v>
      </c>
      <c r="K954" s="155">
        <f t="shared" ref="K954:K1017" si="185">P954-1</f>
        <v>-1</v>
      </c>
      <c r="N954" s="139">
        <f t="shared" si="183"/>
        <v>0</v>
      </c>
      <c r="O954" s="139">
        <f t="shared" si="184"/>
        <v>1</v>
      </c>
      <c r="P954" s="155"/>
      <c r="Q954" s="186"/>
      <c r="R954" s="186" t="s">
        <v>873</v>
      </c>
      <c r="S954" s="139"/>
      <c r="V954" s="139"/>
    </row>
    <row r="955" spans="4:22">
      <c r="D955" s="139"/>
      <c r="E955" s="141" t="s">
        <v>1829</v>
      </c>
      <c r="F955" s="141" t="s">
        <v>1756</v>
      </c>
      <c r="G955" s="154" t="str">
        <f t="shared" si="179"/>
        <v>/</v>
      </c>
      <c r="H955" s="141" t="str">
        <f t="shared" si="180"/>
        <v>/</v>
      </c>
      <c r="I955" s="139" t="e">
        <f t="shared" si="181"/>
        <v>#NUM!</v>
      </c>
      <c r="J955" s="139" t="e">
        <f t="shared" si="182"/>
        <v>#NUM!</v>
      </c>
      <c r="K955" s="155">
        <f t="shared" si="185"/>
        <v>-1</v>
      </c>
      <c r="N955" s="139">
        <f t="shared" si="183"/>
        <v>0</v>
      </c>
      <c r="O955" s="139">
        <f t="shared" si="184"/>
        <v>1</v>
      </c>
      <c r="P955" s="155"/>
      <c r="Q955" s="186"/>
      <c r="R955" s="186" t="s">
        <v>873</v>
      </c>
      <c r="S955" s="139"/>
      <c r="V955" s="139"/>
    </row>
    <row r="956" spans="4:22">
      <c r="D956" s="139"/>
      <c r="E956" s="141" t="s">
        <v>1829</v>
      </c>
      <c r="F956" s="141" t="s">
        <v>1756</v>
      </c>
      <c r="G956" s="154" t="str">
        <f t="shared" si="179"/>
        <v>/</v>
      </c>
      <c r="H956" s="141" t="str">
        <f t="shared" si="180"/>
        <v>/</v>
      </c>
      <c r="I956" s="139" t="e">
        <f t="shared" si="181"/>
        <v>#NUM!</v>
      </c>
      <c r="J956" s="139" t="e">
        <f t="shared" si="182"/>
        <v>#NUM!</v>
      </c>
      <c r="K956" s="155">
        <f t="shared" si="185"/>
        <v>-1</v>
      </c>
      <c r="N956" s="139">
        <f t="shared" si="183"/>
        <v>0</v>
      </c>
      <c r="O956" s="139">
        <f t="shared" si="184"/>
        <v>1</v>
      </c>
      <c r="P956" s="155"/>
      <c r="Q956" s="186"/>
      <c r="R956" s="186" t="s">
        <v>873</v>
      </c>
      <c r="S956" s="139"/>
      <c r="V956" s="139"/>
    </row>
    <row r="957" spans="4:22">
      <c r="D957" s="139"/>
      <c r="E957" s="141" t="s">
        <v>1829</v>
      </c>
      <c r="F957" s="141" t="s">
        <v>1756</v>
      </c>
      <c r="G957" s="154" t="str">
        <f t="shared" si="179"/>
        <v>/</v>
      </c>
      <c r="H957" s="141" t="str">
        <f t="shared" si="180"/>
        <v>/</v>
      </c>
      <c r="I957" s="139" t="e">
        <f t="shared" si="181"/>
        <v>#NUM!</v>
      </c>
      <c r="J957" s="139" t="e">
        <f t="shared" si="182"/>
        <v>#NUM!</v>
      </c>
      <c r="K957" s="155">
        <f t="shared" si="185"/>
        <v>-1</v>
      </c>
      <c r="N957" s="139">
        <f t="shared" si="183"/>
        <v>0</v>
      </c>
      <c r="O957" s="139">
        <f t="shared" si="184"/>
        <v>1</v>
      </c>
      <c r="P957" s="155"/>
      <c r="Q957" s="186"/>
      <c r="R957" s="186" t="s">
        <v>873</v>
      </c>
      <c r="S957" s="139"/>
      <c r="V957" s="139"/>
    </row>
    <row r="958" spans="4:22">
      <c r="D958" s="139"/>
      <c r="E958" s="141" t="s">
        <v>1829</v>
      </c>
      <c r="F958" s="141" t="s">
        <v>1756</v>
      </c>
      <c r="G958" s="154" t="str">
        <f t="shared" si="179"/>
        <v>/</v>
      </c>
      <c r="H958" s="141" t="str">
        <f t="shared" si="180"/>
        <v>/</v>
      </c>
      <c r="I958" s="139" t="e">
        <f t="shared" si="181"/>
        <v>#NUM!</v>
      </c>
      <c r="J958" s="139" t="e">
        <f t="shared" si="182"/>
        <v>#NUM!</v>
      </c>
      <c r="K958" s="155">
        <f t="shared" si="185"/>
        <v>-1</v>
      </c>
      <c r="N958" s="139">
        <f t="shared" si="183"/>
        <v>0</v>
      </c>
      <c r="O958" s="139">
        <f t="shared" si="184"/>
        <v>1</v>
      </c>
      <c r="P958" s="155"/>
      <c r="Q958" s="186"/>
      <c r="R958" s="186" t="s">
        <v>873</v>
      </c>
      <c r="S958" s="139"/>
      <c r="V958" s="139"/>
    </row>
    <row r="959" spans="4:22">
      <c r="D959" s="139"/>
      <c r="E959" s="141" t="s">
        <v>1829</v>
      </c>
      <c r="F959" s="141" t="s">
        <v>1756</v>
      </c>
      <c r="G959" s="154" t="str">
        <f t="shared" si="179"/>
        <v>/</v>
      </c>
      <c r="H959" s="141" t="str">
        <f t="shared" si="180"/>
        <v>/</v>
      </c>
      <c r="I959" s="139" t="e">
        <f t="shared" si="181"/>
        <v>#NUM!</v>
      </c>
      <c r="J959" s="139" t="e">
        <f t="shared" si="182"/>
        <v>#NUM!</v>
      </c>
      <c r="K959" s="155">
        <f t="shared" si="185"/>
        <v>-1</v>
      </c>
      <c r="N959" s="139">
        <f t="shared" si="183"/>
        <v>0</v>
      </c>
      <c r="O959" s="139">
        <f t="shared" si="184"/>
        <v>1</v>
      </c>
      <c r="P959" s="155"/>
      <c r="Q959" s="186"/>
      <c r="R959" s="186" t="s">
        <v>873</v>
      </c>
      <c r="S959" s="139"/>
      <c r="V959" s="139"/>
    </row>
    <row r="960" spans="4:22">
      <c r="D960" s="139"/>
      <c r="E960" s="141" t="s">
        <v>1829</v>
      </c>
      <c r="F960" s="141" t="s">
        <v>1756</v>
      </c>
      <c r="G960" s="154" t="str">
        <f t="shared" si="179"/>
        <v>/</v>
      </c>
      <c r="H960" s="141" t="str">
        <f t="shared" si="180"/>
        <v>/</v>
      </c>
      <c r="I960" s="139" t="e">
        <f t="shared" si="181"/>
        <v>#NUM!</v>
      </c>
      <c r="J960" s="139" t="e">
        <f t="shared" si="182"/>
        <v>#NUM!</v>
      </c>
      <c r="K960" s="155">
        <f t="shared" si="185"/>
        <v>-1</v>
      </c>
      <c r="N960" s="139">
        <f t="shared" si="183"/>
        <v>0</v>
      </c>
      <c r="O960" s="139">
        <f t="shared" si="184"/>
        <v>1</v>
      </c>
      <c r="P960" s="155"/>
      <c r="Q960" s="186"/>
      <c r="R960" s="186" t="s">
        <v>873</v>
      </c>
      <c r="S960" s="139"/>
      <c r="V960" s="139"/>
    </row>
    <row r="961" spans="4:22">
      <c r="D961" s="139"/>
      <c r="E961" s="141" t="s">
        <v>1829</v>
      </c>
      <c r="F961" s="141" t="s">
        <v>1756</v>
      </c>
      <c r="G961" s="154" t="str">
        <f t="shared" ref="G961:G1024" si="186">A961&amp;"/"&amp;B961</f>
        <v>/</v>
      </c>
      <c r="H961" s="141" t="str">
        <f t="shared" ref="H961:H1024" si="187">A961&amp;"/"&amp;B961</f>
        <v>/</v>
      </c>
      <c r="I961" s="139" t="e">
        <f t="shared" si="181"/>
        <v>#NUM!</v>
      </c>
      <c r="J961" s="139" t="e">
        <f t="shared" si="182"/>
        <v>#NUM!</v>
      </c>
      <c r="K961" s="155">
        <f t="shared" si="185"/>
        <v>-1</v>
      </c>
      <c r="N961" s="139">
        <f t="shared" si="183"/>
        <v>0</v>
      </c>
      <c r="O961" s="139">
        <f t="shared" si="184"/>
        <v>1</v>
      </c>
      <c r="P961" s="155"/>
      <c r="Q961" s="186"/>
      <c r="R961" s="186" t="s">
        <v>873</v>
      </c>
      <c r="S961" s="139"/>
      <c r="V961" s="139"/>
    </row>
    <row r="962" spans="4:22">
      <c r="D962" s="139"/>
      <c r="E962" s="141" t="s">
        <v>1829</v>
      </c>
      <c r="F962" s="141" t="s">
        <v>1756</v>
      </c>
      <c r="G962" s="154" t="str">
        <f t="shared" si="186"/>
        <v>/</v>
      </c>
      <c r="H962" s="141" t="str">
        <f t="shared" si="187"/>
        <v>/</v>
      </c>
      <c r="I962" s="139" t="e">
        <f t="shared" si="181"/>
        <v>#NUM!</v>
      </c>
      <c r="J962" s="139" t="e">
        <f t="shared" si="182"/>
        <v>#NUM!</v>
      </c>
      <c r="K962" s="155">
        <f t="shared" si="185"/>
        <v>-1</v>
      </c>
      <c r="N962" s="139">
        <f t="shared" si="183"/>
        <v>0</v>
      </c>
      <c r="O962" s="139">
        <f t="shared" si="184"/>
        <v>1</v>
      </c>
      <c r="P962" s="155"/>
      <c r="Q962" s="186"/>
      <c r="R962" s="186" t="s">
        <v>873</v>
      </c>
      <c r="S962" s="139"/>
      <c r="V962" s="139"/>
    </row>
    <row r="963" spans="4:22">
      <c r="D963" s="139"/>
      <c r="E963" s="141" t="s">
        <v>1829</v>
      </c>
      <c r="F963" s="141" t="s">
        <v>1756</v>
      </c>
      <c r="G963" s="154" t="str">
        <f t="shared" si="186"/>
        <v>/</v>
      </c>
      <c r="H963" s="141" t="str">
        <f t="shared" si="187"/>
        <v>/</v>
      </c>
      <c r="I963" s="139" t="e">
        <f t="shared" si="181"/>
        <v>#NUM!</v>
      </c>
      <c r="J963" s="139" t="e">
        <f t="shared" si="182"/>
        <v>#NUM!</v>
      </c>
      <c r="K963" s="155">
        <f t="shared" si="185"/>
        <v>-1</v>
      </c>
      <c r="N963" s="139">
        <f t="shared" si="183"/>
        <v>0</v>
      </c>
      <c r="O963" s="139">
        <f t="shared" si="184"/>
        <v>1</v>
      </c>
      <c r="P963" s="155"/>
      <c r="Q963" s="186"/>
      <c r="R963" s="186" t="s">
        <v>873</v>
      </c>
      <c r="S963" s="139"/>
      <c r="V963" s="139"/>
    </row>
    <row r="964" spans="4:22">
      <c r="D964" s="139"/>
      <c r="E964" s="141" t="s">
        <v>1829</v>
      </c>
      <c r="F964" s="141" t="s">
        <v>1756</v>
      </c>
      <c r="G964" s="154" t="str">
        <f t="shared" si="186"/>
        <v>/</v>
      </c>
      <c r="H964" s="141" t="str">
        <f t="shared" si="187"/>
        <v>/</v>
      </c>
      <c r="I964" s="139" t="e">
        <f t="shared" si="181"/>
        <v>#NUM!</v>
      </c>
      <c r="J964" s="139" t="e">
        <f t="shared" si="182"/>
        <v>#NUM!</v>
      </c>
      <c r="K964" s="155">
        <f t="shared" si="185"/>
        <v>-1</v>
      </c>
      <c r="N964" s="139">
        <f t="shared" si="183"/>
        <v>0</v>
      </c>
      <c r="O964" s="139">
        <f t="shared" si="184"/>
        <v>1</v>
      </c>
      <c r="P964" s="155"/>
      <c r="Q964" s="186"/>
      <c r="R964" s="186" t="s">
        <v>873</v>
      </c>
      <c r="S964" s="139"/>
      <c r="V964" s="139"/>
    </row>
    <row r="965" spans="4:22">
      <c r="D965" s="139"/>
      <c r="E965" s="141" t="s">
        <v>1829</v>
      </c>
      <c r="F965" s="141" t="s">
        <v>1756</v>
      </c>
      <c r="G965" s="154" t="str">
        <f t="shared" si="186"/>
        <v>/</v>
      </c>
      <c r="H965" s="141" t="str">
        <f t="shared" si="187"/>
        <v>/</v>
      </c>
      <c r="I965" s="139" t="e">
        <f t="shared" si="181"/>
        <v>#NUM!</v>
      </c>
      <c r="J965" s="139" t="e">
        <f t="shared" si="182"/>
        <v>#NUM!</v>
      </c>
      <c r="K965" s="155">
        <f t="shared" si="185"/>
        <v>-1</v>
      </c>
      <c r="N965" s="139">
        <f t="shared" si="183"/>
        <v>0</v>
      </c>
      <c r="O965" s="139">
        <f t="shared" si="184"/>
        <v>1</v>
      </c>
      <c r="P965" s="155"/>
      <c r="Q965" s="186"/>
      <c r="R965" s="186" t="s">
        <v>873</v>
      </c>
      <c r="S965" s="139"/>
      <c r="V965" s="139"/>
    </row>
    <row r="966" spans="4:22">
      <c r="D966" s="139"/>
      <c r="E966" s="141" t="s">
        <v>1829</v>
      </c>
      <c r="F966" s="141" t="s">
        <v>1756</v>
      </c>
      <c r="G966" s="154" t="str">
        <f t="shared" si="186"/>
        <v>/</v>
      </c>
      <c r="H966" s="141" t="str">
        <f t="shared" si="187"/>
        <v>/</v>
      </c>
      <c r="I966" s="139" t="e">
        <f t="shared" si="181"/>
        <v>#NUM!</v>
      </c>
      <c r="J966" s="139" t="e">
        <f t="shared" si="182"/>
        <v>#NUM!</v>
      </c>
      <c r="K966" s="155">
        <f t="shared" si="185"/>
        <v>-1</v>
      </c>
      <c r="N966" s="139">
        <f t="shared" si="183"/>
        <v>0</v>
      </c>
      <c r="O966" s="139">
        <f t="shared" si="184"/>
        <v>1</v>
      </c>
      <c r="P966" s="155"/>
      <c r="Q966" s="186"/>
      <c r="R966" s="186" t="s">
        <v>873</v>
      </c>
      <c r="S966" s="139"/>
      <c r="V966" s="139"/>
    </row>
    <row r="967" spans="4:22">
      <c r="D967" s="139"/>
      <c r="E967" s="141" t="s">
        <v>1829</v>
      </c>
      <c r="F967" s="141" t="s">
        <v>1756</v>
      </c>
      <c r="G967" s="154" t="str">
        <f t="shared" si="186"/>
        <v>/</v>
      </c>
      <c r="H967" s="141" t="str">
        <f t="shared" si="187"/>
        <v>/</v>
      </c>
      <c r="I967" s="139" t="e">
        <f t="shared" si="181"/>
        <v>#NUM!</v>
      </c>
      <c r="J967" s="139" t="e">
        <f t="shared" si="182"/>
        <v>#NUM!</v>
      </c>
      <c r="K967" s="155">
        <f t="shared" si="185"/>
        <v>-1</v>
      </c>
      <c r="N967" s="139">
        <f t="shared" si="183"/>
        <v>0</v>
      </c>
      <c r="O967" s="139">
        <f t="shared" si="184"/>
        <v>1</v>
      </c>
      <c r="P967" s="155"/>
      <c r="Q967" s="186"/>
      <c r="R967" s="186" t="s">
        <v>873</v>
      </c>
      <c r="S967" s="139"/>
      <c r="V967" s="139"/>
    </row>
    <row r="968" spans="4:22">
      <c r="D968" s="139"/>
      <c r="E968" s="141" t="s">
        <v>1829</v>
      </c>
      <c r="F968" s="141" t="s">
        <v>1756</v>
      </c>
      <c r="G968" s="154" t="str">
        <f t="shared" si="186"/>
        <v>/</v>
      </c>
      <c r="H968" s="141" t="str">
        <f t="shared" si="187"/>
        <v>/</v>
      </c>
      <c r="I968" s="139" t="e">
        <f t="shared" si="181"/>
        <v>#NUM!</v>
      </c>
      <c r="J968" s="139" t="e">
        <f t="shared" si="182"/>
        <v>#NUM!</v>
      </c>
      <c r="K968" s="155">
        <f t="shared" si="185"/>
        <v>-1</v>
      </c>
      <c r="N968" s="139">
        <f t="shared" si="183"/>
        <v>0</v>
      </c>
      <c r="O968" s="139">
        <f t="shared" si="184"/>
        <v>1</v>
      </c>
      <c r="P968" s="155"/>
      <c r="Q968" s="186"/>
      <c r="R968" s="186" t="s">
        <v>873</v>
      </c>
      <c r="S968" s="139"/>
      <c r="V968" s="139"/>
    </row>
    <row r="969" spans="4:22">
      <c r="D969" s="139"/>
      <c r="E969" s="141" t="s">
        <v>1829</v>
      </c>
      <c r="F969" s="141" t="s">
        <v>1756</v>
      </c>
      <c r="G969" s="154" t="str">
        <f t="shared" si="186"/>
        <v>/</v>
      </c>
      <c r="H969" s="141" t="str">
        <f t="shared" si="187"/>
        <v>/</v>
      </c>
      <c r="I969" s="139" t="e">
        <f t="shared" si="181"/>
        <v>#NUM!</v>
      </c>
      <c r="J969" s="139" t="e">
        <f t="shared" si="182"/>
        <v>#NUM!</v>
      </c>
      <c r="K969" s="155">
        <f t="shared" si="185"/>
        <v>-1</v>
      </c>
      <c r="N969" s="139">
        <f t="shared" si="183"/>
        <v>0</v>
      </c>
      <c r="O969" s="139">
        <f t="shared" si="184"/>
        <v>1</v>
      </c>
      <c r="P969" s="155"/>
      <c r="Q969" s="186"/>
      <c r="R969" s="186" t="s">
        <v>873</v>
      </c>
      <c r="S969" s="139"/>
      <c r="V969" s="139"/>
    </row>
    <row r="970" spans="4:22">
      <c r="D970" s="139"/>
      <c r="E970" s="141" t="s">
        <v>1829</v>
      </c>
      <c r="F970" s="141" t="s">
        <v>1756</v>
      </c>
      <c r="G970" s="154" t="str">
        <f t="shared" si="186"/>
        <v>/</v>
      </c>
      <c r="H970" s="141" t="str">
        <f t="shared" si="187"/>
        <v>/</v>
      </c>
      <c r="I970" s="139" t="e">
        <f t="shared" si="181"/>
        <v>#NUM!</v>
      </c>
      <c r="J970" s="139" t="e">
        <f t="shared" si="182"/>
        <v>#NUM!</v>
      </c>
      <c r="K970" s="155">
        <f t="shared" si="185"/>
        <v>-1</v>
      </c>
      <c r="N970" s="139">
        <f t="shared" si="183"/>
        <v>0</v>
      </c>
      <c r="O970" s="139">
        <f t="shared" si="184"/>
        <v>1</v>
      </c>
      <c r="P970" s="155"/>
      <c r="Q970" s="186"/>
      <c r="R970" s="186" t="s">
        <v>873</v>
      </c>
      <c r="S970" s="139"/>
      <c r="V970" s="139"/>
    </row>
    <row r="971" spans="4:22">
      <c r="D971" s="139"/>
      <c r="E971" s="141" t="s">
        <v>1829</v>
      </c>
      <c r="F971" s="141" t="s">
        <v>1756</v>
      </c>
      <c r="G971" s="154" t="str">
        <f t="shared" si="186"/>
        <v>/</v>
      </c>
      <c r="H971" s="141" t="str">
        <f t="shared" si="187"/>
        <v>/</v>
      </c>
      <c r="I971" s="139" t="e">
        <f t="shared" si="181"/>
        <v>#NUM!</v>
      </c>
      <c r="J971" s="139" t="e">
        <f t="shared" si="182"/>
        <v>#NUM!</v>
      </c>
      <c r="K971" s="155">
        <f t="shared" si="185"/>
        <v>-1</v>
      </c>
      <c r="N971" s="139">
        <f t="shared" si="183"/>
        <v>0</v>
      </c>
      <c r="O971" s="139">
        <f t="shared" si="184"/>
        <v>1</v>
      </c>
      <c r="P971" s="155"/>
      <c r="Q971" s="186"/>
      <c r="R971" s="186" t="s">
        <v>873</v>
      </c>
      <c r="S971" s="139"/>
      <c r="V971" s="139"/>
    </row>
    <row r="972" spans="4:22">
      <c r="D972" s="139"/>
      <c r="E972" s="141" t="s">
        <v>1829</v>
      </c>
      <c r="F972" s="141" t="s">
        <v>1756</v>
      </c>
      <c r="G972" s="154" t="str">
        <f t="shared" si="186"/>
        <v>/</v>
      </c>
      <c r="H972" s="141" t="str">
        <f t="shared" si="187"/>
        <v>/</v>
      </c>
      <c r="I972" s="139" t="e">
        <f t="shared" si="181"/>
        <v>#NUM!</v>
      </c>
      <c r="J972" s="139" t="e">
        <f t="shared" si="182"/>
        <v>#NUM!</v>
      </c>
      <c r="K972" s="155">
        <f t="shared" si="185"/>
        <v>-1</v>
      </c>
      <c r="N972" s="139">
        <f t="shared" si="183"/>
        <v>0</v>
      </c>
      <c r="O972" s="139">
        <f t="shared" si="184"/>
        <v>1</v>
      </c>
      <c r="Q972" s="186"/>
      <c r="R972" s="186" t="s">
        <v>873</v>
      </c>
      <c r="S972" s="139"/>
      <c r="V972" s="139"/>
    </row>
    <row r="973" spans="4:22">
      <c r="D973" s="139"/>
      <c r="E973" s="141" t="s">
        <v>1829</v>
      </c>
      <c r="F973" s="141" t="s">
        <v>1756</v>
      </c>
      <c r="G973" s="154" t="str">
        <f t="shared" si="186"/>
        <v>/</v>
      </c>
      <c r="H973" s="141" t="str">
        <f t="shared" si="187"/>
        <v>/</v>
      </c>
      <c r="I973" s="139" t="e">
        <f t="shared" si="181"/>
        <v>#NUM!</v>
      </c>
      <c r="J973" s="139" t="e">
        <f t="shared" si="182"/>
        <v>#NUM!</v>
      </c>
      <c r="K973" s="155">
        <f t="shared" si="185"/>
        <v>-1</v>
      </c>
      <c r="N973" s="139">
        <f t="shared" si="183"/>
        <v>0</v>
      </c>
      <c r="O973" s="139">
        <f t="shared" si="184"/>
        <v>1</v>
      </c>
      <c r="Q973" s="186"/>
      <c r="R973" s="186" t="s">
        <v>873</v>
      </c>
      <c r="S973" s="139"/>
      <c r="V973" s="139"/>
    </row>
    <row r="974" spans="4:22">
      <c r="D974" s="139"/>
      <c r="E974" s="141" t="s">
        <v>1829</v>
      </c>
      <c r="F974" s="141" t="s">
        <v>1756</v>
      </c>
      <c r="G974" s="154" t="str">
        <f t="shared" si="186"/>
        <v>/</v>
      </c>
      <c r="H974" s="141" t="str">
        <f t="shared" si="187"/>
        <v>/</v>
      </c>
      <c r="I974" s="139" t="e">
        <f t="shared" si="181"/>
        <v>#NUM!</v>
      </c>
      <c r="J974" s="139" t="e">
        <f t="shared" si="182"/>
        <v>#NUM!</v>
      </c>
      <c r="K974" s="155">
        <f t="shared" si="185"/>
        <v>-1</v>
      </c>
      <c r="N974" s="139">
        <f t="shared" si="183"/>
        <v>0</v>
      </c>
      <c r="O974" s="139">
        <f t="shared" si="184"/>
        <v>1</v>
      </c>
      <c r="Q974" s="186"/>
      <c r="R974" s="186" t="s">
        <v>873</v>
      </c>
      <c r="S974" s="139"/>
      <c r="V974" s="139"/>
    </row>
    <row r="975" spans="4:22">
      <c r="D975" s="139"/>
      <c r="E975" s="141" t="s">
        <v>1829</v>
      </c>
      <c r="F975" s="141" t="s">
        <v>1756</v>
      </c>
      <c r="G975" s="154" t="str">
        <f t="shared" si="186"/>
        <v>/</v>
      </c>
      <c r="H975" s="141" t="str">
        <f t="shared" si="187"/>
        <v>/</v>
      </c>
      <c r="I975" s="139" t="e">
        <f t="shared" si="181"/>
        <v>#NUM!</v>
      </c>
      <c r="J975" s="139" t="e">
        <f t="shared" si="182"/>
        <v>#NUM!</v>
      </c>
      <c r="K975" s="155">
        <f t="shared" si="185"/>
        <v>-1</v>
      </c>
      <c r="N975" s="139">
        <f t="shared" si="183"/>
        <v>0</v>
      </c>
      <c r="O975" s="139">
        <f t="shared" si="184"/>
        <v>1</v>
      </c>
      <c r="Q975" s="186"/>
      <c r="R975" s="186" t="s">
        <v>873</v>
      </c>
      <c r="S975" s="139"/>
      <c r="V975" s="139"/>
    </row>
    <row r="976" spans="4:22">
      <c r="D976" s="139"/>
      <c r="E976" s="141" t="s">
        <v>1829</v>
      </c>
      <c r="F976" s="141" t="s">
        <v>1756</v>
      </c>
      <c r="G976" s="154" t="str">
        <f t="shared" si="186"/>
        <v>/</v>
      </c>
      <c r="H976" s="141" t="str">
        <f t="shared" si="187"/>
        <v>/</v>
      </c>
      <c r="I976" s="139" t="e">
        <f t="shared" si="181"/>
        <v>#NUM!</v>
      </c>
      <c r="J976" s="139" t="e">
        <f t="shared" si="182"/>
        <v>#NUM!</v>
      </c>
      <c r="K976" s="155">
        <f t="shared" si="185"/>
        <v>-1</v>
      </c>
      <c r="N976" s="139">
        <f t="shared" si="183"/>
        <v>0</v>
      </c>
      <c r="O976" s="139">
        <f t="shared" si="184"/>
        <v>1</v>
      </c>
      <c r="Q976" s="186"/>
      <c r="R976" s="186" t="s">
        <v>873</v>
      </c>
      <c r="S976" s="139"/>
      <c r="V976" s="139"/>
    </row>
    <row r="977" spans="4:22">
      <c r="D977" s="139"/>
      <c r="E977" s="141" t="s">
        <v>1829</v>
      </c>
      <c r="F977" s="141" t="s">
        <v>1756</v>
      </c>
      <c r="G977" s="154" t="str">
        <f t="shared" si="186"/>
        <v>/</v>
      </c>
      <c r="H977" s="141" t="str">
        <f t="shared" si="187"/>
        <v>/</v>
      </c>
      <c r="I977" s="139" t="e">
        <f t="shared" si="181"/>
        <v>#NUM!</v>
      </c>
      <c r="J977" s="139" t="e">
        <f t="shared" si="182"/>
        <v>#NUM!</v>
      </c>
      <c r="K977" s="155">
        <f t="shared" si="185"/>
        <v>-1</v>
      </c>
      <c r="N977" s="139">
        <f t="shared" si="183"/>
        <v>0</v>
      </c>
      <c r="O977" s="139">
        <f t="shared" si="184"/>
        <v>1</v>
      </c>
      <c r="Q977" s="186"/>
      <c r="R977" s="186" t="s">
        <v>873</v>
      </c>
      <c r="S977" s="139"/>
      <c r="V977" s="139"/>
    </row>
    <row r="978" spans="4:22">
      <c r="D978" s="139"/>
      <c r="E978" s="141" t="s">
        <v>1829</v>
      </c>
      <c r="F978" s="141" t="s">
        <v>1756</v>
      </c>
      <c r="G978" s="154" t="str">
        <f t="shared" si="186"/>
        <v>/</v>
      </c>
      <c r="H978" s="141" t="str">
        <f t="shared" si="187"/>
        <v>/</v>
      </c>
      <c r="I978" s="139" t="e">
        <f t="shared" si="181"/>
        <v>#NUM!</v>
      </c>
      <c r="J978" s="139" t="e">
        <f t="shared" si="182"/>
        <v>#NUM!</v>
      </c>
      <c r="K978" s="155">
        <f t="shared" si="185"/>
        <v>-1</v>
      </c>
      <c r="N978" s="139">
        <f t="shared" si="183"/>
        <v>0</v>
      </c>
      <c r="O978" s="139">
        <f t="shared" si="184"/>
        <v>1</v>
      </c>
      <c r="Q978" s="186"/>
      <c r="R978" s="186" t="s">
        <v>873</v>
      </c>
      <c r="S978" s="139"/>
      <c r="V978" s="139"/>
    </row>
    <row r="979" spans="4:22">
      <c r="D979" s="139"/>
      <c r="E979" s="141" t="s">
        <v>1829</v>
      </c>
      <c r="F979" s="141" t="s">
        <v>1756</v>
      </c>
      <c r="G979" s="154" t="str">
        <f t="shared" si="186"/>
        <v>/</v>
      </c>
      <c r="H979" s="141" t="str">
        <f t="shared" si="187"/>
        <v>/</v>
      </c>
      <c r="I979" s="139" t="e">
        <f t="shared" si="181"/>
        <v>#NUM!</v>
      </c>
      <c r="J979" s="139" t="e">
        <f t="shared" si="182"/>
        <v>#NUM!</v>
      </c>
      <c r="K979" s="155">
        <f t="shared" si="185"/>
        <v>-1</v>
      </c>
      <c r="N979" s="139">
        <f t="shared" si="183"/>
        <v>0</v>
      </c>
      <c r="O979" s="139">
        <f t="shared" si="184"/>
        <v>1</v>
      </c>
      <c r="Q979" s="186"/>
      <c r="R979" s="186" t="s">
        <v>873</v>
      </c>
      <c r="S979" s="139"/>
      <c r="V979" s="139"/>
    </row>
    <row r="980" spans="4:22">
      <c r="D980" s="139"/>
      <c r="E980" s="141" t="s">
        <v>1829</v>
      </c>
      <c r="F980" s="141" t="s">
        <v>1756</v>
      </c>
      <c r="G980" s="154" t="str">
        <f t="shared" si="186"/>
        <v>/</v>
      </c>
      <c r="H980" s="141" t="str">
        <f t="shared" si="187"/>
        <v>/</v>
      </c>
      <c r="I980" s="139" t="e">
        <f t="shared" si="181"/>
        <v>#NUM!</v>
      </c>
      <c r="J980" s="139" t="e">
        <f t="shared" si="182"/>
        <v>#NUM!</v>
      </c>
      <c r="K980" s="155">
        <f t="shared" si="185"/>
        <v>-1</v>
      </c>
      <c r="N980" s="139">
        <f t="shared" si="183"/>
        <v>0</v>
      </c>
      <c r="O980" s="139">
        <f t="shared" si="184"/>
        <v>1</v>
      </c>
      <c r="Q980" s="186"/>
      <c r="R980" s="186" t="s">
        <v>873</v>
      </c>
      <c r="S980" s="139"/>
      <c r="V980" s="139"/>
    </row>
    <row r="981" spans="4:22">
      <c r="D981" s="139"/>
      <c r="E981" s="141" t="s">
        <v>1829</v>
      </c>
      <c r="F981" s="141" t="s">
        <v>1756</v>
      </c>
      <c r="G981" s="154" t="str">
        <f t="shared" si="186"/>
        <v>/</v>
      </c>
      <c r="H981" s="141" t="str">
        <f t="shared" si="187"/>
        <v>/</v>
      </c>
      <c r="I981" s="139" t="e">
        <f t="shared" si="181"/>
        <v>#NUM!</v>
      </c>
      <c r="J981" s="139" t="e">
        <f t="shared" si="182"/>
        <v>#NUM!</v>
      </c>
      <c r="K981" s="155">
        <f t="shared" si="185"/>
        <v>-1</v>
      </c>
      <c r="N981" s="139">
        <f t="shared" si="183"/>
        <v>0</v>
      </c>
      <c r="O981" s="139">
        <f t="shared" si="184"/>
        <v>1</v>
      </c>
      <c r="Q981" s="186"/>
      <c r="R981" s="186" t="s">
        <v>873</v>
      </c>
      <c r="S981" s="139"/>
      <c r="V981" s="139"/>
    </row>
    <row r="982" spans="4:22">
      <c r="D982" s="139"/>
      <c r="E982" s="141" t="s">
        <v>1829</v>
      </c>
      <c r="F982" s="141" t="s">
        <v>1756</v>
      </c>
      <c r="G982" s="154" t="str">
        <f t="shared" si="186"/>
        <v>/</v>
      </c>
      <c r="H982" s="141" t="str">
        <f t="shared" si="187"/>
        <v>/</v>
      </c>
      <c r="I982" s="139" t="e">
        <f t="shared" si="181"/>
        <v>#NUM!</v>
      </c>
      <c r="J982" s="139" t="e">
        <f t="shared" si="182"/>
        <v>#NUM!</v>
      </c>
      <c r="K982" s="155">
        <f t="shared" si="185"/>
        <v>-1</v>
      </c>
      <c r="N982" s="139">
        <f t="shared" si="183"/>
        <v>0</v>
      </c>
      <c r="O982" s="139">
        <f t="shared" si="184"/>
        <v>1</v>
      </c>
      <c r="Q982" s="186"/>
      <c r="R982" s="186" t="s">
        <v>873</v>
      </c>
      <c r="S982" s="139"/>
      <c r="V982" s="139"/>
    </row>
    <row r="983" spans="4:22">
      <c r="D983" s="139"/>
      <c r="E983" s="141" t="s">
        <v>1829</v>
      </c>
      <c r="F983" s="141" t="s">
        <v>1756</v>
      </c>
      <c r="G983" s="154" t="str">
        <f t="shared" si="186"/>
        <v>/</v>
      </c>
      <c r="H983" s="141" t="str">
        <f t="shared" si="187"/>
        <v>/</v>
      </c>
      <c r="I983" s="139" t="e">
        <f t="shared" si="181"/>
        <v>#NUM!</v>
      </c>
      <c r="J983" s="139" t="e">
        <f t="shared" si="182"/>
        <v>#NUM!</v>
      </c>
      <c r="K983" s="155">
        <f t="shared" si="185"/>
        <v>-1</v>
      </c>
      <c r="N983" s="139">
        <f t="shared" si="183"/>
        <v>0</v>
      </c>
      <c r="O983" s="139">
        <f t="shared" si="184"/>
        <v>1</v>
      </c>
      <c r="Q983" s="186"/>
      <c r="R983" s="186" t="s">
        <v>873</v>
      </c>
      <c r="S983" s="139"/>
      <c r="V983" s="139"/>
    </row>
    <row r="984" spans="4:22">
      <c r="D984" s="139"/>
      <c r="E984" s="141" t="s">
        <v>1829</v>
      </c>
      <c r="F984" s="141" t="s">
        <v>1756</v>
      </c>
      <c r="G984" s="154" t="str">
        <f t="shared" si="186"/>
        <v>/</v>
      </c>
      <c r="H984" s="141" t="str">
        <f t="shared" si="187"/>
        <v>/</v>
      </c>
      <c r="I984" s="139" t="e">
        <f t="shared" si="181"/>
        <v>#NUM!</v>
      </c>
      <c r="J984" s="139" t="e">
        <f t="shared" si="182"/>
        <v>#NUM!</v>
      </c>
      <c r="K984" s="155">
        <f t="shared" si="185"/>
        <v>-1</v>
      </c>
      <c r="N984" s="139">
        <f t="shared" si="183"/>
        <v>0</v>
      </c>
      <c r="O984" s="139">
        <f t="shared" si="184"/>
        <v>1</v>
      </c>
      <c r="Q984" s="186"/>
      <c r="R984" s="186" t="s">
        <v>873</v>
      </c>
      <c r="S984" s="139"/>
      <c r="V984" s="139"/>
    </row>
    <row r="985" spans="4:22">
      <c r="D985" s="139"/>
      <c r="E985" s="141" t="s">
        <v>1829</v>
      </c>
      <c r="F985" s="141" t="s">
        <v>1756</v>
      </c>
      <c r="G985" s="154" t="str">
        <f t="shared" si="186"/>
        <v>/</v>
      </c>
      <c r="H985" s="141" t="str">
        <f t="shared" si="187"/>
        <v>/</v>
      </c>
      <c r="I985" s="139" t="e">
        <f t="shared" si="181"/>
        <v>#NUM!</v>
      </c>
      <c r="J985" s="139" t="e">
        <f t="shared" si="182"/>
        <v>#NUM!</v>
      </c>
      <c r="K985" s="155">
        <f t="shared" si="185"/>
        <v>-1</v>
      </c>
      <c r="N985" s="139">
        <f t="shared" si="183"/>
        <v>0</v>
      </c>
      <c r="O985" s="139">
        <f t="shared" si="184"/>
        <v>1</v>
      </c>
      <c r="Q985" s="186"/>
      <c r="R985" s="186" t="s">
        <v>873</v>
      </c>
      <c r="S985" s="139"/>
      <c r="V985" s="139"/>
    </row>
    <row r="986" spans="4:22">
      <c r="D986" s="139"/>
      <c r="E986" s="141" t="s">
        <v>1829</v>
      </c>
      <c r="F986" s="141" t="s">
        <v>1756</v>
      </c>
      <c r="G986" s="154" t="str">
        <f t="shared" si="186"/>
        <v>/</v>
      </c>
      <c r="H986" s="141" t="str">
        <f t="shared" si="187"/>
        <v>/</v>
      </c>
      <c r="I986" s="139" t="e">
        <f t="shared" si="181"/>
        <v>#NUM!</v>
      </c>
      <c r="J986" s="139" t="e">
        <f t="shared" si="182"/>
        <v>#NUM!</v>
      </c>
      <c r="K986" s="155">
        <f t="shared" si="185"/>
        <v>-1</v>
      </c>
      <c r="N986" s="139">
        <f t="shared" si="183"/>
        <v>0</v>
      </c>
      <c r="O986" s="139">
        <f t="shared" si="184"/>
        <v>1</v>
      </c>
      <c r="Q986" s="186"/>
      <c r="R986" s="186" t="s">
        <v>873</v>
      </c>
      <c r="S986" s="139"/>
      <c r="V986" s="139"/>
    </row>
    <row r="987" spans="4:22">
      <c r="D987" s="139"/>
      <c r="E987" s="141" t="s">
        <v>1829</v>
      </c>
      <c r="F987" s="141" t="s">
        <v>1756</v>
      </c>
      <c r="G987" s="154" t="str">
        <f t="shared" si="186"/>
        <v>/</v>
      </c>
      <c r="H987" s="141" t="str">
        <f t="shared" si="187"/>
        <v>/</v>
      </c>
      <c r="I987" s="139" t="e">
        <f t="shared" si="181"/>
        <v>#NUM!</v>
      </c>
      <c r="J987" s="139" t="e">
        <f t="shared" si="182"/>
        <v>#NUM!</v>
      </c>
      <c r="K987" s="155">
        <f t="shared" si="185"/>
        <v>-1</v>
      </c>
      <c r="N987" s="139">
        <f t="shared" si="183"/>
        <v>0</v>
      </c>
      <c r="O987" s="139">
        <f t="shared" si="184"/>
        <v>1</v>
      </c>
      <c r="Q987" s="186"/>
      <c r="R987" s="186" t="s">
        <v>873</v>
      </c>
      <c r="S987" s="139"/>
      <c r="V987" s="139"/>
    </row>
    <row r="988" spans="4:22">
      <c r="D988" s="139"/>
      <c r="E988" s="141" t="s">
        <v>1829</v>
      </c>
      <c r="F988" s="141" t="s">
        <v>1756</v>
      </c>
      <c r="G988" s="154" t="str">
        <f t="shared" si="186"/>
        <v>/</v>
      </c>
      <c r="H988" s="141" t="str">
        <f t="shared" si="187"/>
        <v>/</v>
      </c>
      <c r="I988" s="139" t="e">
        <f t="shared" si="181"/>
        <v>#NUM!</v>
      </c>
      <c r="J988" s="139" t="e">
        <f t="shared" si="182"/>
        <v>#NUM!</v>
      </c>
      <c r="K988" s="155">
        <f t="shared" si="185"/>
        <v>-1</v>
      </c>
      <c r="N988" s="139">
        <f t="shared" si="183"/>
        <v>0</v>
      </c>
      <c r="O988" s="139">
        <f t="shared" si="184"/>
        <v>1</v>
      </c>
      <c r="Q988" s="186"/>
      <c r="R988" s="186" t="s">
        <v>873</v>
      </c>
      <c r="S988" s="139"/>
      <c r="V988" s="139"/>
    </row>
    <row r="989" spans="4:22">
      <c r="D989" s="139"/>
      <c r="E989" s="141" t="s">
        <v>1829</v>
      </c>
      <c r="F989" s="141" t="s">
        <v>1756</v>
      </c>
      <c r="G989" s="154" t="str">
        <f t="shared" si="186"/>
        <v>/</v>
      </c>
      <c r="H989" s="141" t="str">
        <f t="shared" si="187"/>
        <v>/</v>
      </c>
      <c r="I989" s="139" t="e">
        <f t="shared" si="181"/>
        <v>#NUM!</v>
      </c>
      <c r="J989" s="139" t="e">
        <f t="shared" si="182"/>
        <v>#NUM!</v>
      </c>
      <c r="K989" s="155">
        <f t="shared" si="185"/>
        <v>-1</v>
      </c>
      <c r="N989" s="139">
        <f t="shared" si="183"/>
        <v>0</v>
      </c>
      <c r="O989" s="139">
        <f t="shared" si="184"/>
        <v>1</v>
      </c>
      <c r="Q989" s="186"/>
      <c r="R989" s="186" t="s">
        <v>873</v>
      </c>
      <c r="S989" s="139"/>
      <c r="V989" s="139"/>
    </row>
    <row r="990" spans="4:22">
      <c r="D990" s="139"/>
      <c r="E990" s="141" t="s">
        <v>1829</v>
      </c>
      <c r="F990" s="141" t="s">
        <v>1756</v>
      </c>
      <c r="G990" s="154" t="str">
        <f t="shared" si="186"/>
        <v>/</v>
      </c>
      <c r="H990" s="141" t="str">
        <f t="shared" si="187"/>
        <v>/</v>
      </c>
      <c r="I990" s="139" t="e">
        <f t="shared" si="181"/>
        <v>#NUM!</v>
      </c>
      <c r="J990" s="139" t="e">
        <f t="shared" si="182"/>
        <v>#NUM!</v>
      </c>
      <c r="K990" s="155">
        <f t="shared" si="185"/>
        <v>-1</v>
      </c>
      <c r="N990" s="139">
        <f t="shared" si="183"/>
        <v>0</v>
      </c>
      <c r="O990" s="139">
        <f t="shared" si="184"/>
        <v>1</v>
      </c>
      <c r="Q990" s="186"/>
      <c r="R990" s="186" t="s">
        <v>873</v>
      </c>
      <c r="S990" s="139"/>
      <c r="V990" s="139"/>
    </row>
    <row r="991" spans="4:22">
      <c r="D991" s="139"/>
      <c r="E991" s="141" t="s">
        <v>1829</v>
      </c>
      <c r="F991" s="141" t="s">
        <v>1756</v>
      </c>
      <c r="G991" s="154" t="str">
        <f t="shared" si="186"/>
        <v>/</v>
      </c>
      <c r="H991" s="141" t="str">
        <f t="shared" si="187"/>
        <v>/</v>
      </c>
      <c r="I991" s="139" t="e">
        <f t="shared" si="181"/>
        <v>#NUM!</v>
      </c>
      <c r="J991" s="139" t="e">
        <f t="shared" si="182"/>
        <v>#NUM!</v>
      </c>
      <c r="K991" s="155">
        <f t="shared" si="185"/>
        <v>-1</v>
      </c>
      <c r="N991" s="139">
        <f t="shared" si="183"/>
        <v>0</v>
      </c>
      <c r="O991" s="139">
        <f t="shared" si="184"/>
        <v>1</v>
      </c>
      <c r="Q991" s="186"/>
      <c r="R991" s="186" t="s">
        <v>873</v>
      </c>
      <c r="S991" s="139"/>
      <c r="V991" s="139"/>
    </row>
    <row r="992" spans="4:22">
      <c r="D992" s="139"/>
      <c r="E992" s="141" t="s">
        <v>1829</v>
      </c>
      <c r="F992" s="141" t="s">
        <v>1756</v>
      </c>
      <c r="G992" s="154" t="str">
        <f t="shared" si="186"/>
        <v>/</v>
      </c>
      <c r="H992" s="141" t="str">
        <f t="shared" si="187"/>
        <v>/</v>
      </c>
      <c r="I992" s="139" t="e">
        <f t="shared" si="181"/>
        <v>#NUM!</v>
      </c>
      <c r="J992" s="139" t="e">
        <f t="shared" si="182"/>
        <v>#NUM!</v>
      </c>
      <c r="K992" s="155">
        <f t="shared" si="185"/>
        <v>-1</v>
      </c>
      <c r="N992" s="139">
        <f t="shared" si="183"/>
        <v>0</v>
      </c>
      <c r="O992" s="139">
        <f t="shared" si="184"/>
        <v>1</v>
      </c>
      <c r="Q992" s="186"/>
      <c r="R992" s="186" t="s">
        <v>873</v>
      </c>
      <c r="S992" s="139"/>
      <c r="V992" s="139"/>
    </row>
    <row r="993" spans="4:22">
      <c r="D993" s="139"/>
      <c r="E993" s="141" t="s">
        <v>1829</v>
      </c>
      <c r="F993" s="141" t="s">
        <v>1756</v>
      </c>
      <c r="G993" s="154" t="str">
        <f t="shared" si="186"/>
        <v>/</v>
      </c>
      <c r="H993" s="141" t="str">
        <f t="shared" si="187"/>
        <v>/</v>
      </c>
      <c r="I993" s="139" t="e">
        <f t="shared" si="181"/>
        <v>#NUM!</v>
      </c>
      <c r="J993" s="139" t="e">
        <f t="shared" si="182"/>
        <v>#NUM!</v>
      </c>
      <c r="K993" s="155">
        <f t="shared" si="185"/>
        <v>-1</v>
      </c>
      <c r="N993" s="139">
        <f t="shared" si="183"/>
        <v>0</v>
      </c>
      <c r="O993" s="139">
        <f t="shared" si="184"/>
        <v>1</v>
      </c>
      <c r="Q993" s="186"/>
      <c r="R993" s="186" t="s">
        <v>873</v>
      </c>
      <c r="S993" s="139"/>
      <c r="V993" s="139"/>
    </row>
    <row r="994" spans="4:22">
      <c r="D994" s="139"/>
      <c r="E994" s="141" t="s">
        <v>1829</v>
      </c>
      <c r="F994" s="141" t="s">
        <v>1756</v>
      </c>
      <c r="G994" s="154" t="str">
        <f t="shared" si="186"/>
        <v>/</v>
      </c>
      <c r="H994" s="141" t="str">
        <f t="shared" si="187"/>
        <v>/</v>
      </c>
      <c r="I994" s="139" t="e">
        <f t="shared" si="181"/>
        <v>#NUM!</v>
      </c>
      <c r="J994" s="139" t="e">
        <f t="shared" si="182"/>
        <v>#NUM!</v>
      </c>
      <c r="K994" s="155">
        <f t="shared" si="185"/>
        <v>-1</v>
      </c>
      <c r="N994" s="139">
        <f t="shared" si="183"/>
        <v>0</v>
      </c>
      <c r="O994" s="139">
        <f t="shared" si="184"/>
        <v>1</v>
      </c>
      <c r="Q994" s="186"/>
      <c r="R994" s="186" t="s">
        <v>873</v>
      </c>
      <c r="S994" s="139"/>
      <c r="V994" s="139"/>
    </row>
    <row r="995" spans="4:22">
      <c r="D995" s="139"/>
      <c r="E995" s="141" t="s">
        <v>1829</v>
      </c>
      <c r="F995" s="141" t="s">
        <v>1756</v>
      </c>
      <c r="G995" s="154" t="str">
        <f t="shared" si="186"/>
        <v>/</v>
      </c>
      <c r="H995" s="141" t="str">
        <f t="shared" si="187"/>
        <v>/</v>
      </c>
      <c r="I995" s="139" t="e">
        <f t="shared" si="181"/>
        <v>#NUM!</v>
      </c>
      <c r="J995" s="139" t="e">
        <f t="shared" si="182"/>
        <v>#NUM!</v>
      </c>
      <c r="K995" s="155">
        <f t="shared" si="185"/>
        <v>-1</v>
      </c>
      <c r="N995" s="139">
        <f t="shared" si="183"/>
        <v>0</v>
      </c>
      <c r="O995" s="139">
        <f t="shared" si="184"/>
        <v>1</v>
      </c>
      <c r="Q995" s="186"/>
      <c r="R995" s="186" t="s">
        <v>873</v>
      </c>
      <c r="S995" s="139"/>
      <c r="V995" s="139"/>
    </row>
    <row r="996" spans="4:22">
      <c r="D996" s="139"/>
      <c r="E996" s="141" t="s">
        <v>1829</v>
      </c>
      <c r="F996" s="141" t="s">
        <v>1756</v>
      </c>
      <c r="G996" s="154" t="str">
        <f t="shared" si="186"/>
        <v>/</v>
      </c>
      <c r="H996" s="141" t="str">
        <f t="shared" si="187"/>
        <v>/</v>
      </c>
      <c r="I996" s="139" t="e">
        <f t="shared" si="181"/>
        <v>#NUM!</v>
      </c>
      <c r="J996" s="139" t="e">
        <f t="shared" si="182"/>
        <v>#NUM!</v>
      </c>
      <c r="K996" s="155">
        <f t="shared" si="185"/>
        <v>-1</v>
      </c>
      <c r="N996" s="139">
        <f t="shared" si="183"/>
        <v>0</v>
      </c>
      <c r="O996" s="139">
        <f t="shared" si="184"/>
        <v>1</v>
      </c>
      <c r="Q996" s="186"/>
      <c r="R996" s="186" t="s">
        <v>873</v>
      </c>
      <c r="S996" s="139"/>
      <c r="V996" s="139"/>
    </row>
    <row r="997" spans="4:22">
      <c r="D997" s="139"/>
      <c r="E997" s="141" t="s">
        <v>1829</v>
      </c>
      <c r="F997" s="141" t="s">
        <v>1756</v>
      </c>
      <c r="G997" s="154" t="str">
        <f t="shared" si="186"/>
        <v>/</v>
      </c>
      <c r="H997" s="141" t="str">
        <f t="shared" si="187"/>
        <v>/</v>
      </c>
      <c r="I997" s="139" t="e">
        <f t="shared" si="181"/>
        <v>#NUM!</v>
      </c>
      <c r="J997" s="139" t="e">
        <f t="shared" si="182"/>
        <v>#NUM!</v>
      </c>
      <c r="K997" s="155">
        <f t="shared" si="185"/>
        <v>-1</v>
      </c>
      <c r="N997" s="139">
        <f t="shared" si="183"/>
        <v>0</v>
      </c>
      <c r="O997" s="139">
        <f t="shared" si="184"/>
        <v>1</v>
      </c>
      <c r="Q997" s="186"/>
      <c r="R997" s="186" t="s">
        <v>873</v>
      </c>
      <c r="S997" s="139"/>
      <c r="V997" s="139"/>
    </row>
    <row r="998" spans="4:22">
      <c r="D998" s="139"/>
      <c r="E998" s="141" t="s">
        <v>1829</v>
      </c>
      <c r="F998" s="141" t="s">
        <v>1756</v>
      </c>
      <c r="G998" s="154" t="str">
        <f t="shared" si="186"/>
        <v>/</v>
      </c>
      <c r="H998" s="141" t="str">
        <f t="shared" si="187"/>
        <v>/</v>
      </c>
      <c r="I998" s="139" t="e">
        <f t="shared" si="181"/>
        <v>#NUM!</v>
      </c>
      <c r="J998" s="139" t="e">
        <f t="shared" si="182"/>
        <v>#NUM!</v>
      </c>
      <c r="K998" s="155">
        <f t="shared" si="185"/>
        <v>-1</v>
      </c>
      <c r="N998" s="139">
        <f t="shared" si="183"/>
        <v>0</v>
      </c>
      <c r="O998" s="139">
        <f t="shared" si="184"/>
        <v>1</v>
      </c>
      <c r="Q998" s="186"/>
      <c r="R998" s="186" t="s">
        <v>873</v>
      </c>
      <c r="S998" s="139"/>
      <c r="V998" s="139"/>
    </row>
    <row r="999" spans="4:22">
      <c r="D999" s="139"/>
      <c r="E999" s="141" t="s">
        <v>1829</v>
      </c>
      <c r="F999" s="141" t="s">
        <v>1756</v>
      </c>
      <c r="G999" s="154" t="str">
        <f t="shared" si="186"/>
        <v>/</v>
      </c>
      <c r="H999" s="141" t="str">
        <f t="shared" si="187"/>
        <v>/</v>
      </c>
      <c r="I999" s="139" t="e">
        <f t="shared" si="181"/>
        <v>#NUM!</v>
      </c>
      <c r="J999" s="139" t="e">
        <f t="shared" si="182"/>
        <v>#NUM!</v>
      </c>
      <c r="K999" s="155">
        <f t="shared" si="185"/>
        <v>-1</v>
      </c>
      <c r="N999" s="139">
        <f t="shared" si="183"/>
        <v>0</v>
      </c>
      <c r="O999" s="139">
        <f t="shared" si="184"/>
        <v>1</v>
      </c>
      <c r="Q999" s="186"/>
      <c r="R999" s="186" t="s">
        <v>873</v>
      </c>
      <c r="S999" s="139"/>
      <c r="V999" s="139"/>
    </row>
    <row r="1000" spans="4:22">
      <c r="D1000" s="139"/>
      <c r="E1000" s="141" t="s">
        <v>1829</v>
      </c>
      <c r="F1000" s="141" t="s">
        <v>1756</v>
      </c>
      <c r="G1000" s="154" t="str">
        <f t="shared" si="186"/>
        <v>/</v>
      </c>
      <c r="H1000" s="141" t="str">
        <f t="shared" si="187"/>
        <v>/</v>
      </c>
      <c r="I1000" s="139" t="e">
        <f t="shared" si="181"/>
        <v>#NUM!</v>
      </c>
      <c r="J1000" s="139" t="e">
        <f t="shared" si="182"/>
        <v>#NUM!</v>
      </c>
      <c r="K1000" s="155">
        <f t="shared" si="185"/>
        <v>-1</v>
      </c>
      <c r="N1000" s="139">
        <f t="shared" si="183"/>
        <v>0</v>
      </c>
      <c r="O1000" s="139">
        <f t="shared" si="184"/>
        <v>1</v>
      </c>
      <c r="Q1000" s="186"/>
      <c r="R1000" s="186" t="s">
        <v>873</v>
      </c>
      <c r="S1000" s="139"/>
      <c r="V1000" s="139"/>
    </row>
    <row r="1001" spans="4:22">
      <c r="D1001" s="139"/>
      <c r="E1001" s="141" t="s">
        <v>1829</v>
      </c>
      <c r="F1001" s="141" t="s">
        <v>1756</v>
      </c>
      <c r="G1001" s="154" t="str">
        <f t="shared" si="186"/>
        <v>/</v>
      </c>
      <c r="H1001" s="141" t="str">
        <f t="shared" si="187"/>
        <v>/</v>
      </c>
      <c r="I1001" s="139" t="e">
        <f t="shared" si="181"/>
        <v>#NUM!</v>
      </c>
      <c r="J1001" s="139" t="e">
        <f t="shared" si="182"/>
        <v>#NUM!</v>
      </c>
      <c r="K1001" s="155">
        <f t="shared" si="185"/>
        <v>-1</v>
      </c>
      <c r="N1001" s="139">
        <f t="shared" si="183"/>
        <v>0</v>
      </c>
      <c r="O1001" s="139">
        <f t="shared" si="184"/>
        <v>1</v>
      </c>
      <c r="Q1001" s="186"/>
      <c r="R1001" s="186" t="s">
        <v>873</v>
      </c>
      <c r="S1001" s="139"/>
      <c r="V1001" s="139"/>
    </row>
    <row r="1002" spans="4:22">
      <c r="D1002" s="139"/>
      <c r="E1002" s="141" t="s">
        <v>1829</v>
      </c>
      <c r="F1002" s="141" t="s">
        <v>1756</v>
      </c>
      <c r="G1002" s="154" t="str">
        <f t="shared" si="186"/>
        <v>/</v>
      </c>
      <c r="H1002" s="141" t="str">
        <f t="shared" si="187"/>
        <v>/</v>
      </c>
      <c r="I1002" s="139" t="e">
        <f t="shared" si="181"/>
        <v>#NUM!</v>
      </c>
      <c r="J1002" s="139" t="e">
        <f t="shared" si="182"/>
        <v>#NUM!</v>
      </c>
      <c r="K1002" s="155">
        <f t="shared" si="185"/>
        <v>-1</v>
      </c>
      <c r="N1002" s="139">
        <f t="shared" si="183"/>
        <v>0</v>
      </c>
      <c r="O1002" s="139">
        <f t="shared" si="184"/>
        <v>1</v>
      </c>
      <c r="Q1002" s="186"/>
      <c r="R1002" s="186" t="s">
        <v>873</v>
      </c>
      <c r="S1002" s="139"/>
      <c r="V1002" s="139"/>
    </row>
    <row r="1003" spans="4:22">
      <c r="D1003" s="139"/>
      <c r="E1003" s="141" t="s">
        <v>1829</v>
      </c>
      <c r="F1003" s="141" t="s">
        <v>1756</v>
      </c>
      <c r="G1003" s="154" t="str">
        <f t="shared" si="186"/>
        <v>/</v>
      </c>
      <c r="H1003" s="141" t="str">
        <f t="shared" si="187"/>
        <v>/</v>
      </c>
      <c r="I1003" s="139" t="e">
        <f t="shared" si="181"/>
        <v>#NUM!</v>
      </c>
      <c r="J1003" s="139" t="e">
        <f t="shared" si="182"/>
        <v>#NUM!</v>
      </c>
      <c r="K1003" s="155">
        <f t="shared" si="185"/>
        <v>-1</v>
      </c>
      <c r="N1003" s="139">
        <f t="shared" si="183"/>
        <v>0</v>
      </c>
      <c r="O1003" s="139">
        <f t="shared" si="184"/>
        <v>1</v>
      </c>
      <c r="Q1003" s="186"/>
      <c r="R1003" s="186" t="s">
        <v>873</v>
      </c>
      <c r="S1003" s="139"/>
      <c r="V1003" s="139"/>
    </row>
    <row r="1004" spans="4:22">
      <c r="D1004" s="139"/>
      <c r="E1004" s="141" t="s">
        <v>1829</v>
      </c>
      <c r="F1004" s="141" t="s">
        <v>1756</v>
      </c>
      <c r="G1004" s="154" t="str">
        <f t="shared" si="186"/>
        <v>/</v>
      </c>
      <c r="H1004" s="141" t="str">
        <f t="shared" si="187"/>
        <v>/</v>
      </c>
      <c r="I1004" s="139" t="e">
        <f t="shared" si="181"/>
        <v>#NUM!</v>
      </c>
      <c r="J1004" s="139" t="e">
        <f t="shared" si="182"/>
        <v>#NUM!</v>
      </c>
      <c r="K1004" s="155">
        <f t="shared" si="185"/>
        <v>-1</v>
      </c>
      <c r="N1004" s="139">
        <f t="shared" si="183"/>
        <v>0</v>
      </c>
      <c r="O1004" s="139">
        <f t="shared" si="184"/>
        <v>1</v>
      </c>
      <c r="Q1004" s="186"/>
      <c r="R1004" s="186" t="s">
        <v>873</v>
      </c>
      <c r="S1004" s="139"/>
      <c r="V1004" s="139"/>
    </row>
    <row r="1005" spans="4:22">
      <c r="D1005" s="139"/>
      <c r="E1005" s="141" t="s">
        <v>1829</v>
      </c>
      <c r="F1005" s="141" t="s">
        <v>1756</v>
      </c>
      <c r="G1005" s="154" t="str">
        <f t="shared" si="186"/>
        <v>/</v>
      </c>
      <c r="H1005" s="141" t="str">
        <f t="shared" si="187"/>
        <v>/</v>
      </c>
      <c r="I1005" s="139" t="e">
        <f t="shared" si="181"/>
        <v>#NUM!</v>
      </c>
      <c r="J1005" s="139" t="e">
        <f t="shared" si="182"/>
        <v>#NUM!</v>
      </c>
      <c r="K1005" s="155">
        <f t="shared" si="185"/>
        <v>-1</v>
      </c>
      <c r="N1005" s="139">
        <f t="shared" si="183"/>
        <v>0</v>
      </c>
      <c r="O1005" s="139">
        <f t="shared" si="184"/>
        <v>1</v>
      </c>
      <c r="Q1005" s="186"/>
      <c r="R1005" s="186" t="s">
        <v>873</v>
      </c>
      <c r="S1005" s="139"/>
      <c r="V1005" s="139"/>
    </row>
    <row r="1006" spans="4:22">
      <c r="D1006" s="139"/>
      <c r="E1006" s="141" t="s">
        <v>1829</v>
      </c>
      <c r="F1006" s="141" t="s">
        <v>1756</v>
      </c>
      <c r="G1006" s="154" t="str">
        <f t="shared" si="186"/>
        <v>/</v>
      </c>
      <c r="H1006" s="141" t="str">
        <f t="shared" si="187"/>
        <v>/</v>
      </c>
      <c r="I1006" s="139" t="e">
        <f t="shared" si="181"/>
        <v>#NUM!</v>
      </c>
      <c r="J1006" s="139" t="e">
        <f t="shared" si="182"/>
        <v>#NUM!</v>
      </c>
      <c r="K1006" s="155">
        <f t="shared" si="185"/>
        <v>-1</v>
      </c>
      <c r="N1006" s="139">
        <f t="shared" si="183"/>
        <v>0</v>
      </c>
      <c r="O1006" s="139">
        <f t="shared" si="184"/>
        <v>1</v>
      </c>
      <c r="Q1006" s="186"/>
      <c r="R1006" s="186" t="s">
        <v>873</v>
      </c>
      <c r="S1006" s="139"/>
      <c r="V1006" s="139"/>
    </row>
    <row r="1007" spans="4:22">
      <c r="D1007" s="139"/>
      <c r="E1007" s="141" t="s">
        <v>1829</v>
      </c>
      <c r="F1007" s="141" t="s">
        <v>1756</v>
      </c>
      <c r="G1007" s="154" t="str">
        <f t="shared" si="186"/>
        <v>/</v>
      </c>
      <c r="H1007" s="141" t="str">
        <f t="shared" si="187"/>
        <v>/</v>
      </c>
      <c r="I1007" s="139" t="e">
        <f t="shared" si="181"/>
        <v>#NUM!</v>
      </c>
      <c r="J1007" s="139" t="e">
        <f t="shared" si="182"/>
        <v>#NUM!</v>
      </c>
      <c r="K1007" s="155">
        <f t="shared" si="185"/>
        <v>-1</v>
      </c>
      <c r="N1007" s="139">
        <f t="shared" si="183"/>
        <v>0</v>
      </c>
      <c r="O1007" s="139">
        <f t="shared" si="184"/>
        <v>1</v>
      </c>
      <c r="Q1007" s="186"/>
      <c r="R1007" s="186" t="s">
        <v>873</v>
      </c>
      <c r="S1007" s="139"/>
      <c r="V1007" s="139"/>
    </row>
    <row r="1008" spans="4:22">
      <c r="D1008" s="139"/>
      <c r="E1008" s="141" t="s">
        <v>1829</v>
      </c>
      <c r="F1008" s="141" t="s">
        <v>1756</v>
      </c>
      <c r="G1008" s="154" t="str">
        <f t="shared" si="186"/>
        <v>/</v>
      </c>
      <c r="H1008" s="141" t="str">
        <f t="shared" si="187"/>
        <v>/</v>
      </c>
      <c r="I1008" s="139" t="e">
        <f t="shared" si="181"/>
        <v>#NUM!</v>
      </c>
      <c r="J1008" s="139" t="e">
        <f t="shared" si="182"/>
        <v>#NUM!</v>
      </c>
      <c r="K1008" s="155">
        <f t="shared" si="185"/>
        <v>-1</v>
      </c>
      <c r="N1008" s="139">
        <f t="shared" si="183"/>
        <v>0</v>
      </c>
      <c r="O1008" s="139">
        <f t="shared" si="184"/>
        <v>1</v>
      </c>
      <c r="Q1008" s="186"/>
      <c r="R1008" s="186" t="s">
        <v>873</v>
      </c>
      <c r="S1008" s="139"/>
      <c r="V1008" s="139"/>
    </row>
    <row r="1009" spans="4:22">
      <c r="D1009" s="139"/>
      <c r="E1009" s="141" t="s">
        <v>1829</v>
      </c>
      <c r="F1009" s="141" t="s">
        <v>1756</v>
      </c>
      <c r="G1009" s="154" t="str">
        <f t="shared" si="186"/>
        <v>/</v>
      </c>
      <c r="H1009" s="141" t="str">
        <f t="shared" si="187"/>
        <v>/</v>
      </c>
      <c r="I1009" s="139" t="e">
        <f t="shared" si="181"/>
        <v>#NUM!</v>
      </c>
      <c r="J1009" s="139" t="e">
        <f t="shared" si="182"/>
        <v>#NUM!</v>
      </c>
      <c r="K1009" s="155">
        <f t="shared" si="185"/>
        <v>-1</v>
      </c>
      <c r="N1009" s="139">
        <f t="shared" si="183"/>
        <v>0</v>
      </c>
      <c r="O1009" s="139">
        <f t="shared" si="184"/>
        <v>1</v>
      </c>
      <c r="Q1009" s="186"/>
      <c r="R1009" s="186" t="s">
        <v>873</v>
      </c>
      <c r="S1009" s="139"/>
      <c r="V1009" s="139"/>
    </row>
    <row r="1010" spans="4:22">
      <c r="D1010" s="139"/>
      <c r="E1010" s="141" t="s">
        <v>1829</v>
      </c>
      <c r="F1010" s="141" t="s">
        <v>1756</v>
      </c>
      <c r="G1010" s="154" t="str">
        <f t="shared" si="186"/>
        <v>/</v>
      </c>
      <c r="H1010" s="141" t="str">
        <f t="shared" si="187"/>
        <v>/</v>
      </c>
      <c r="I1010" s="139" t="e">
        <f t="shared" si="181"/>
        <v>#NUM!</v>
      </c>
      <c r="J1010" s="139" t="e">
        <f t="shared" si="182"/>
        <v>#NUM!</v>
      </c>
      <c r="K1010" s="155">
        <f t="shared" si="185"/>
        <v>-1</v>
      </c>
      <c r="N1010" s="139">
        <f t="shared" si="183"/>
        <v>0</v>
      </c>
      <c r="O1010" s="139">
        <f t="shared" si="184"/>
        <v>1</v>
      </c>
      <c r="Q1010" s="186"/>
      <c r="R1010" s="186" t="s">
        <v>873</v>
      </c>
      <c r="S1010" s="139"/>
      <c r="V1010" s="139"/>
    </row>
    <row r="1011" spans="4:22">
      <c r="D1011" s="139"/>
      <c r="E1011" s="141" t="s">
        <v>1829</v>
      </c>
      <c r="F1011" s="141" t="s">
        <v>1756</v>
      </c>
      <c r="G1011" s="154" t="str">
        <f t="shared" si="186"/>
        <v>/</v>
      </c>
      <c r="H1011" s="141" t="str">
        <f t="shared" si="187"/>
        <v>/</v>
      </c>
      <c r="I1011" s="139" t="e">
        <f t="shared" ref="I1011:I1074" si="188">DAY(K1011)</f>
        <v>#NUM!</v>
      </c>
      <c r="J1011" s="139" t="e">
        <f t="shared" ref="J1011:J1074" si="189">MONTH(K1011)</f>
        <v>#NUM!</v>
      </c>
      <c r="K1011" s="155">
        <f t="shared" si="185"/>
        <v>-1</v>
      </c>
      <c r="N1011" s="139">
        <f t="shared" ref="N1011:N1074" si="190">DAY(P1011)</f>
        <v>0</v>
      </c>
      <c r="O1011" s="139">
        <f t="shared" ref="O1011:O1074" si="191">MONTH(P1011)</f>
        <v>1</v>
      </c>
      <c r="Q1011" s="186"/>
      <c r="R1011" s="186" t="s">
        <v>873</v>
      </c>
      <c r="S1011" s="139"/>
      <c r="V1011" s="139"/>
    </row>
    <row r="1012" spans="4:22">
      <c r="D1012" s="139"/>
      <c r="E1012" s="141" t="s">
        <v>1829</v>
      </c>
      <c r="F1012" s="141" t="s">
        <v>1756</v>
      </c>
      <c r="G1012" s="154" t="str">
        <f t="shared" si="186"/>
        <v>/</v>
      </c>
      <c r="H1012" s="141" t="str">
        <f t="shared" si="187"/>
        <v>/</v>
      </c>
      <c r="I1012" s="139" t="e">
        <f t="shared" si="188"/>
        <v>#NUM!</v>
      </c>
      <c r="J1012" s="139" t="e">
        <f t="shared" si="189"/>
        <v>#NUM!</v>
      </c>
      <c r="K1012" s="155">
        <f t="shared" si="185"/>
        <v>-1</v>
      </c>
      <c r="N1012" s="139">
        <f t="shared" si="190"/>
        <v>0</v>
      </c>
      <c r="O1012" s="139">
        <f t="shared" si="191"/>
        <v>1</v>
      </c>
      <c r="Q1012" s="186"/>
      <c r="R1012" s="186" t="s">
        <v>873</v>
      </c>
      <c r="S1012" s="139"/>
      <c r="V1012" s="139"/>
    </row>
    <row r="1013" spans="4:22">
      <c r="D1013" s="139"/>
      <c r="E1013" s="141" t="s">
        <v>1829</v>
      </c>
      <c r="F1013" s="141" t="s">
        <v>1756</v>
      </c>
      <c r="G1013" s="154" t="str">
        <f t="shared" si="186"/>
        <v>/</v>
      </c>
      <c r="H1013" s="141" t="str">
        <f t="shared" si="187"/>
        <v>/</v>
      </c>
      <c r="I1013" s="139" t="e">
        <f t="shared" si="188"/>
        <v>#NUM!</v>
      </c>
      <c r="J1013" s="139" t="e">
        <f t="shared" si="189"/>
        <v>#NUM!</v>
      </c>
      <c r="K1013" s="155">
        <f t="shared" si="185"/>
        <v>-1</v>
      </c>
      <c r="N1013" s="139">
        <f t="shared" si="190"/>
        <v>0</v>
      </c>
      <c r="O1013" s="139">
        <f t="shared" si="191"/>
        <v>1</v>
      </c>
      <c r="Q1013" s="186"/>
      <c r="R1013" s="186" t="s">
        <v>873</v>
      </c>
      <c r="S1013" s="139"/>
      <c r="V1013" s="139"/>
    </row>
    <row r="1014" spans="4:22">
      <c r="D1014" s="139"/>
      <c r="E1014" s="141" t="s">
        <v>1829</v>
      </c>
      <c r="F1014" s="141" t="s">
        <v>1756</v>
      </c>
      <c r="G1014" s="154" t="str">
        <f t="shared" si="186"/>
        <v>/</v>
      </c>
      <c r="H1014" s="141" t="str">
        <f t="shared" si="187"/>
        <v>/</v>
      </c>
      <c r="I1014" s="139" t="e">
        <f t="shared" si="188"/>
        <v>#NUM!</v>
      </c>
      <c r="J1014" s="139" t="e">
        <f t="shared" si="189"/>
        <v>#NUM!</v>
      </c>
      <c r="K1014" s="155">
        <f t="shared" si="185"/>
        <v>-1</v>
      </c>
      <c r="N1014" s="139">
        <f t="shared" si="190"/>
        <v>0</v>
      </c>
      <c r="O1014" s="139">
        <f t="shared" si="191"/>
        <v>1</v>
      </c>
      <c r="Q1014" s="186"/>
      <c r="R1014" s="186" t="s">
        <v>873</v>
      </c>
      <c r="S1014" s="139"/>
      <c r="V1014" s="139"/>
    </row>
    <row r="1015" spans="4:22">
      <c r="D1015" s="139"/>
      <c r="E1015" s="141" t="s">
        <v>1829</v>
      </c>
      <c r="F1015" s="141" t="s">
        <v>1756</v>
      </c>
      <c r="G1015" s="154" t="str">
        <f t="shared" si="186"/>
        <v>/</v>
      </c>
      <c r="H1015" s="141" t="str">
        <f t="shared" si="187"/>
        <v>/</v>
      </c>
      <c r="I1015" s="139" t="e">
        <f t="shared" si="188"/>
        <v>#NUM!</v>
      </c>
      <c r="J1015" s="139" t="e">
        <f t="shared" si="189"/>
        <v>#NUM!</v>
      </c>
      <c r="K1015" s="155">
        <f t="shared" si="185"/>
        <v>-1</v>
      </c>
      <c r="N1015" s="139">
        <f t="shared" si="190"/>
        <v>0</v>
      </c>
      <c r="O1015" s="139">
        <f t="shared" si="191"/>
        <v>1</v>
      </c>
      <c r="Q1015" s="186"/>
      <c r="R1015" s="186" t="s">
        <v>873</v>
      </c>
      <c r="S1015" s="139"/>
      <c r="V1015" s="139"/>
    </row>
    <row r="1016" spans="4:22">
      <c r="D1016" s="139"/>
      <c r="E1016" s="141" t="s">
        <v>1829</v>
      </c>
      <c r="F1016" s="141" t="s">
        <v>1756</v>
      </c>
      <c r="G1016" s="154" t="str">
        <f t="shared" si="186"/>
        <v>/</v>
      </c>
      <c r="H1016" s="141" t="str">
        <f t="shared" si="187"/>
        <v>/</v>
      </c>
      <c r="I1016" s="139" t="e">
        <f t="shared" si="188"/>
        <v>#NUM!</v>
      </c>
      <c r="J1016" s="139" t="e">
        <f t="shared" si="189"/>
        <v>#NUM!</v>
      </c>
      <c r="K1016" s="155">
        <f t="shared" si="185"/>
        <v>-1</v>
      </c>
      <c r="N1016" s="139">
        <f t="shared" si="190"/>
        <v>0</v>
      </c>
      <c r="O1016" s="139">
        <f t="shared" si="191"/>
        <v>1</v>
      </c>
      <c r="Q1016" s="186"/>
      <c r="R1016" s="186" t="s">
        <v>873</v>
      </c>
      <c r="S1016" s="139"/>
      <c r="V1016" s="139"/>
    </row>
    <row r="1017" spans="4:22">
      <c r="D1017" s="139"/>
      <c r="E1017" s="141" t="s">
        <v>1829</v>
      </c>
      <c r="F1017" s="141" t="s">
        <v>1756</v>
      </c>
      <c r="G1017" s="154" t="str">
        <f t="shared" si="186"/>
        <v>/</v>
      </c>
      <c r="H1017" s="141" t="str">
        <f t="shared" si="187"/>
        <v>/</v>
      </c>
      <c r="I1017" s="139" t="e">
        <f t="shared" si="188"/>
        <v>#NUM!</v>
      </c>
      <c r="J1017" s="139" t="e">
        <f t="shared" si="189"/>
        <v>#NUM!</v>
      </c>
      <c r="K1017" s="155">
        <f t="shared" si="185"/>
        <v>-1</v>
      </c>
      <c r="N1017" s="139">
        <f t="shared" si="190"/>
        <v>0</v>
      </c>
      <c r="O1017" s="139">
        <f t="shared" si="191"/>
        <v>1</v>
      </c>
      <c r="Q1017" s="186"/>
      <c r="R1017" s="186" t="s">
        <v>873</v>
      </c>
      <c r="S1017" s="139"/>
      <c r="V1017" s="139"/>
    </row>
    <row r="1018" spans="4:22">
      <c r="D1018" s="139"/>
      <c r="E1018" s="141" t="s">
        <v>1829</v>
      </c>
      <c r="F1018" s="141" t="s">
        <v>1756</v>
      </c>
      <c r="G1018" s="154" t="str">
        <f t="shared" si="186"/>
        <v>/</v>
      </c>
      <c r="H1018" s="141" t="str">
        <f t="shared" si="187"/>
        <v>/</v>
      </c>
      <c r="I1018" s="139" t="e">
        <f t="shared" si="188"/>
        <v>#NUM!</v>
      </c>
      <c r="J1018" s="139" t="e">
        <f t="shared" si="189"/>
        <v>#NUM!</v>
      </c>
      <c r="K1018" s="155">
        <f t="shared" ref="K1018:K1081" si="192">P1018-1</f>
        <v>-1</v>
      </c>
      <c r="N1018" s="139">
        <f t="shared" si="190"/>
        <v>0</v>
      </c>
      <c r="O1018" s="139">
        <f t="shared" si="191"/>
        <v>1</v>
      </c>
      <c r="Q1018" s="186"/>
      <c r="R1018" s="186" t="s">
        <v>873</v>
      </c>
      <c r="S1018" s="139"/>
      <c r="V1018" s="139"/>
    </row>
    <row r="1019" spans="4:22">
      <c r="D1019" s="139"/>
      <c r="E1019" s="141" t="s">
        <v>1829</v>
      </c>
      <c r="F1019" s="141" t="s">
        <v>1756</v>
      </c>
      <c r="G1019" s="154" t="str">
        <f t="shared" si="186"/>
        <v>/</v>
      </c>
      <c r="H1019" s="141" t="str">
        <f t="shared" si="187"/>
        <v>/</v>
      </c>
      <c r="I1019" s="139" t="e">
        <f t="shared" si="188"/>
        <v>#NUM!</v>
      </c>
      <c r="J1019" s="139" t="e">
        <f t="shared" si="189"/>
        <v>#NUM!</v>
      </c>
      <c r="K1019" s="155">
        <f t="shared" si="192"/>
        <v>-1</v>
      </c>
      <c r="N1019" s="139">
        <f t="shared" si="190"/>
        <v>0</v>
      </c>
      <c r="O1019" s="139">
        <f t="shared" si="191"/>
        <v>1</v>
      </c>
      <c r="Q1019" s="186"/>
      <c r="R1019" s="186" t="s">
        <v>873</v>
      </c>
      <c r="S1019" s="139"/>
      <c r="V1019" s="139"/>
    </row>
    <row r="1020" spans="4:22">
      <c r="D1020" s="139"/>
      <c r="E1020" s="141" t="s">
        <v>1829</v>
      </c>
      <c r="F1020" s="141" t="s">
        <v>1756</v>
      </c>
      <c r="G1020" s="154" t="str">
        <f t="shared" si="186"/>
        <v>/</v>
      </c>
      <c r="H1020" s="141" t="str">
        <f t="shared" si="187"/>
        <v>/</v>
      </c>
      <c r="I1020" s="139" t="e">
        <f t="shared" si="188"/>
        <v>#NUM!</v>
      </c>
      <c r="J1020" s="139" t="e">
        <f t="shared" si="189"/>
        <v>#NUM!</v>
      </c>
      <c r="K1020" s="155">
        <f t="shared" si="192"/>
        <v>-1</v>
      </c>
      <c r="N1020" s="139">
        <f t="shared" si="190"/>
        <v>0</v>
      </c>
      <c r="O1020" s="139">
        <f t="shared" si="191"/>
        <v>1</v>
      </c>
      <c r="Q1020" s="186"/>
      <c r="R1020" s="186" t="s">
        <v>873</v>
      </c>
      <c r="S1020" s="139"/>
      <c r="V1020" s="139"/>
    </row>
    <row r="1021" spans="4:22">
      <c r="D1021" s="139"/>
      <c r="E1021" s="141" t="s">
        <v>1829</v>
      </c>
      <c r="F1021" s="141" t="s">
        <v>1756</v>
      </c>
      <c r="G1021" s="154" t="str">
        <f t="shared" si="186"/>
        <v>/</v>
      </c>
      <c r="H1021" s="141" t="str">
        <f t="shared" si="187"/>
        <v>/</v>
      </c>
      <c r="I1021" s="139" t="e">
        <f t="shared" si="188"/>
        <v>#NUM!</v>
      </c>
      <c r="J1021" s="139" t="e">
        <f t="shared" si="189"/>
        <v>#NUM!</v>
      </c>
      <c r="K1021" s="155">
        <f t="shared" si="192"/>
        <v>-1</v>
      </c>
      <c r="N1021" s="139">
        <f t="shared" si="190"/>
        <v>0</v>
      </c>
      <c r="O1021" s="139">
        <f t="shared" si="191"/>
        <v>1</v>
      </c>
      <c r="Q1021" s="186"/>
      <c r="R1021" s="186" t="s">
        <v>873</v>
      </c>
      <c r="S1021" s="139"/>
      <c r="V1021" s="139"/>
    </row>
    <row r="1022" spans="4:22">
      <c r="D1022" s="139"/>
      <c r="E1022" s="141" t="s">
        <v>1829</v>
      </c>
      <c r="F1022" s="141" t="s">
        <v>1756</v>
      </c>
      <c r="G1022" s="154" t="str">
        <f t="shared" si="186"/>
        <v>/</v>
      </c>
      <c r="H1022" s="141" t="str">
        <f t="shared" si="187"/>
        <v>/</v>
      </c>
      <c r="I1022" s="139" t="e">
        <f t="shared" si="188"/>
        <v>#NUM!</v>
      </c>
      <c r="J1022" s="139" t="e">
        <f t="shared" si="189"/>
        <v>#NUM!</v>
      </c>
      <c r="K1022" s="155">
        <f t="shared" si="192"/>
        <v>-1</v>
      </c>
      <c r="N1022" s="139">
        <f t="shared" si="190"/>
        <v>0</v>
      </c>
      <c r="O1022" s="139">
        <f t="shared" si="191"/>
        <v>1</v>
      </c>
      <c r="Q1022" s="186"/>
      <c r="R1022" s="186" t="s">
        <v>873</v>
      </c>
      <c r="S1022" s="139"/>
      <c r="V1022" s="139"/>
    </row>
    <row r="1023" spans="4:22">
      <c r="D1023" s="139"/>
      <c r="E1023" s="141" t="s">
        <v>1829</v>
      </c>
      <c r="F1023" s="141" t="s">
        <v>1756</v>
      </c>
      <c r="G1023" s="154" t="str">
        <f t="shared" si="186"/>
        <v>/</v>
      </c>
      <c r="H1023" s="141" t="str">
        <f t="shared" si="187"/>
        <v>/</v>
      </c>
      <c r="I1023" s="139" t="e">
        <f t="shared" si="188"/>
        <v>#NUM!</v>
      </c>
      <c r="J1023" s="139" t="e">
        <f t="shared" si="189"/>
        <v>#NUM!</v>
      </c>
      <c r="K1023" s="155">
        <f t="shared" si="192"/>
        <v>-1</v>
      </c>
      <c r="N1023" s="139">
        <f t="shared" si="190"/>
        <v>0</v>
      </c>
      <c r="O1023" s="139">
        <f t="shared" si="191"/>
        <v>1</v>
      </c>
      <c r="Q1023" s="186"/>
      <c r="R1023" s="186" t="s">
        <v>873</v>
      </c>
      <c r="S1023" s="139"/>
      <c r="V1023" s="139"/>
    </row>
    <row r="1024" spans="4:22">
      <c r="D1024" s="139"/>
      <c r="E1024" s="141" t="s">
        <v>1829</v>
      </c>
      <c r="F1024" s="141" t="s">
        <v>1756</v>
      </c>
      <c r="G1024" s="154" t="str">
        <f t="shared" si="186"/>
        <v>/</v>
      </c>
      <c r="H1024" s="141" t="str">
        <f t="shared" si="187"/>
        <v>/</v>
      </c>
      <c r="I1024" s="139" t="e">
        <f t="shared" si="188"/>
        <v>#NUM!</v>
      </c>
      <c r="J1024" s="139" t="e">
        <f t="shared" si="189"/>
        <v>#NUM!</v>
      </c>
      <c r="K1024" s="155">
        <f t="shared" si="192"/>
        <v>-1</v>
      </c>
      <c r="N1024" s="139">
        <f t="shared" si="190"/>
        <v>0</v>
      </c>
      <c r="O1024" s="139">
        <f t="shared" si="191"/>
        <v>1</v>
      </c>
      <c r="Q1024" s="186"/>
      <c r="R1024" s="186" t="s">
        <v>873</v>
      </c>
      <c r="S1024" s="139"/>
      <c r="V1024" s="139"/>
    </row>
    <row r="1025" spans="4:22">
      <c r="D1025" s="139"/>
      <c r="E1025" s="141" t="s">
        <v>1829</v>
      </c>
      <c r="F1025" s="141" t="s">
        <v>1756</v>
      </c>
      <c r="G1025" s="154" t="str">
        <f t="shared" ref="G1025:G1088" si="193">A1025&amp;"/"&amp;B1025</f>
        <v>/</v>
      </c>
      <c r="H1025" s="141" t="str">
        <f t="shared" ref="H1025:H1088" si="194">A1025&amp;"/"&amp;B1025</f>
        <v>/</v>
      </c>
      <c r="I1025" s="139" t="e">
        <f t="shared" si="188"/>
        <v>#NUM!</v>
      </c>
      <c r="J1025" s="139" t="e">
        <f t="shared" si="189"/>
        <v>#NUM!</v>
      </c>
      <c r="K1025" s="155">
        <f t="shared" si="192"/>
        <v>-1</v>
      </c>
      <c r="N1025" s="139">
        <f t="shared" si="190"/>
        <v>0</v>
      </c>
      <c r="O1025" s="139">
        <f t="shared" si="191"/>
        <v>1</v>
      </c>
      <c r="Q1025" s="186"/>
      <c r="R1025" s="186" t="s">
        <v>873</v>
      </c>
      <c r="S1025" s="139"/>
      <c r="V1025" s="139"/>
    </row>
    <row r="1026" spans="4:22">
      <c r="D1026" s="139"/>
      <c r="E1026" s="141" t="s">
        <v>1829</v>
      </c>
      <c r="F1026" s="141" t="s">
        <v>1756</v>
      </c>
      <c r="G1026" s="154" t="str">
        <f t="shared" si="193"/>
        <v>/</v>
      </c>
      <c r="H1026" s="141" t="str">
        <f t="shared" si="194"/>
        <v>/</v>
      </c>
      <c r="I1026" s="139" t="e">
        <f t="shared" si="188"/>
        <v>#NUM!</v>
      </c>
      <c r="J1026" s="139" t="e">
        <f t="shared" si="189"/>
        <v>#NUM!</v>
      </c>
      <c r="K1026" s="155">
        <f t="shared" si="192"/>
        <v>-1</v>
      </c>
      <c r="N1026" s="139">
        <f t="shared" si="190"/>
        <v>0</v>
      </c>
      <c r="O1026" s="139">
        <f t="shared" si="191"/>
        <v>1</v>
      </c>
      <c r="Q1026" s="186"/>
      <c r="R1026" s="186" t="s">
        <v>873</v>
      </c>
      <c r="S1026" s="139"/>
      <c r="V1026" s="139"/>
    </row>
    <row r="1027" spans="4:22">
      <c r="D1027" s="139"/>
      <c r="E1027" s="141" t="s">
        <v>1829</v>
      </c>
      <c r="F1027" s="141" t="s">
        <v>1756</v>
      </c>
      <c r="G1027" s="154" t="str">
        <f t="shared" si="193"/>
        <v>/</v>
      </c>
      <c r="H1027" s="141" t="str">
        <f t="shared" si="194"/>
        <v>/</v>
      </c>
      <c r="I1027" s="139" t="e">
        <f t="shared" si="188"/>
        <v>#NUM!</v>
      </c>
      <c r="J1027" s="139" t="e">
        <f t="shared" si="189"/>
        <v>#NUM!</v>
      </c>
      <c r="K1027" s="155">
        <f t="shared" si="192"/>
        <v>-1</v>
      </c>
      <c r="N1027" s="139">
        <f t="shared" si="190"/>
        <v>0</v>
      </c>
      <c r="O1027" s="139">
        <f t="shared" si="191"/>
        <v>1</v>
      </c>
      <c r="Q1027" s="186"/>
      <c r="R1027" s="186" t="s">
        <v>873</v>
      </c>
      <c r="S1027" s="139"/>
      <c r="V1027" s="139"/>
    </row>
    <row r="1028" spans="4:22">
      <c r="D1028" s="139"/>
      <c r="E1028" s="141" t="s">
        <v>1829</v>
      </c>
      <c r="F1028" s="141" t="s">
        <v>1756</v>
      </c>
      <c r="G1028" s="154" t="str">
        <f t="shared" si="193"/>
        <v>/</v>
      </c>
      <c r="H1028" s="141" t="str">
        <f t="shared" si="194"/>
        <v>/</v>
      </c>
      <c r="I1028" s="139" t="e">
        <f t="shared" si="188"/>
        <v>#NUM!</v>
      </c>
      <c r="J1028" s="139" t="e">
        <f t="shared" si="189"/>
        <v>#NUM!</v>
      </c>
      <c r="K1028" s="155">
        <f t="shared" si="192"/>
        <v>-1</v>
      </c>
      <c r="N1028" s="139">
        <f t="shared" si="190"/>
        <v>0</v>
      </c>
      <c r="O1028" s="139">
        <f t="shared" si="191"/>
        <v>1</v>
      </c>
      <c r="Q1028" s="186"/>
      <c r="R1028" s="186" t="s">
        <v>873</v>
      </c>
      <c r="S1028" s="139"/>
      <c r="V1028" s="139"/>
    </row>
    <row r="1029" spans="4:22">
      <c r="D1029" s="139"/>
      <c r="E1029" s="141" t="s">
        <v>1829</v>
      </c>
      <c r="F1029" s="141" t="s">
        <v>1756</v>
      </c>
      <c r="G1029" s="154" t="str">
        <f t="shared" si="193"/>
        <v>/</v>
      </c>
      <c r="H1029" s="141" t="str">
        <f t="shared" si="194"/>
        <v>/</v>
      </c>
      <c r="I1029" s="139" t="e">
        <f t="shared" si="188"/>
        <v>#NUM!</v>
      </c>
      <c r="J1029" s="139" t="e">
        <f t="shared" si="189"/>
        <v>#NUM!</v>
      </c>
      <c r="K1029" s="155">
        <f t="shared" si="192"/>
        <v>-1</v>
      </c>
      <c r="N1029" s="139">
        <f t="shared" si="190"/>
        <v>0</v>
      </c>
      <c r="O1029" s="139">
        <f t="shared" si="191"/>
        <v>1</v>
      </c>
      <c r="Q1029" s="186"/>
      <c r="R1029" s="186" t="s">
        <v>873</v>
      </c>
      <c r="S1029" s="139"/>
      <c r="V1029" s="139"/>
    </row>
    <row r="1030" spans="4:22">
      <c r="D1030" s="139"/>
      <c r="E1030" s="141" t="s">
        <v>1829</v>
      </c>
      <c r="F1030" s="141" t="s">
        <v>1756</v>
      </c>
      <c r="G1030" s="154" t="str">
        <f t="shared" si="193"/>
        <v>/</v>
      </c>
      <c r="H1030" s="141" t="str">
        <f t="shared" si="194"/>
        <v>/</v>
      </c>
      <c r="I1030" s="139" t="e">
        <f t="shared" si="188"/>
        <v>#NUM!</v>
      </c>
      <c r="J1030" s="139" t="e">
        <f t="shared" si="189"/>
        <v>#NUM!</v>
      </c>
      <c r="K1030" s="155">
        <f t="shared" si="192"/>
        <v>-1</v>
      </c>
      <c r="N1030" s="139">
        <f t="shared" si="190"/>
        <v>0</v>
      </c>
      <c r="O1030" s="139">
        <f t="shared" si="191"/>
        <v>1</v>
      </c>
      <c r="Q1030" s="186"/>
      <c r="R1030" s="186" t="s">
        <v>873</v>
      </c>
      <c r="S1030" s="139"/>
      <c r="V1030" s="139"/>
    </row>
    <row r="1031" spans="4:22">
      <c r="D1031" s="139"/>
      <c r="E1031" s="141" t="s">
        <v>1829</v>
      </c>
      <c r="F1031" s="141" t="s">
        <v>1756</v>
      </c>
      <c r="G1031" s="154" t="str">
        <f t="shared" si="193"/>
        <v>/</v>
      </c>
      <c r="H1031" s="141" t="str">
        <f t="shared" si="194"/>
        <v>/</v>
      </c>
      <c r="I1031" s="139" t="e">
        <f t="shared" si="188"/>
        <v>#NUM!</v>
      </c>
      <c r="J1031" s="139" t="e">
        <f t="shared" si="189"/>
        <v>#NUM!</v>
      </c>
      <c r="K1031" s="155">
        <f t="shared" si="192"/>
        <v>-1</v>
      </c>
      <c r="N1031" s="139">
        <f t="shared" si="190"/>
        <v>0</v>
      </c>
      <c r="O1031" s="139">
        <f t="shared" si="191"/>
        <v>1</v>
      </c>
      <c r="Q1031" s="186"/>
      <c r="R1031" s="186" t="s">
        <v>873</v>
      </c>
      <c r="S1031" s="139"/>
      <c r="V1031" s="139"/>
    </row>
    <row r="1032" spans="4:22">
      <c r="D1032" s="139"/>
      <c r="E1032" s="141" t="s">
        <v>1829</v>
      </c>
      <c r="F1032" s="141" t="s">
        <v>1756</v>
      </c>
      <c r="G1032" s="154" t="str">
        <f t="shared" si="193"/>
        <v>/</v>
      </c>
      <c r="H1032" s="141" t="str">
        <f t="shared" si="194"/>
        <v>/</v>
      </c>
      <c r="I1032" s="139" t="e">
        <f t="shared" si="188"/>
        <v>#NUM!</v>
      </c>
      <c r="J1032" s="139" t="e">
        <f t="shared" si="189"/>
        <v>#NUM!</v>
      </c>
      <c r="K1032" s="155">
        <f t="shared" si="192"/>
        <v>-1</v>
      </c>
      <c r="N1032" s="139">
        <f t="shared" si="190"/>
        <v>0</v>
      </c>
      <c r="O1032" s="139">
        <f t="shared" si="191"/>
        <v>1</v>
      </c>
      <c r="Q1032" s="186"/>
      <c r="R1032" s="186" t="s">
        <v>873</v>
      </c>
      <c r="S1032" s="139"/>
      <c r="V1032" s="139"/>
    </row>
    <row r="1033" spans="4:22">
      <c r="D1033" s="139"/>
      <c r="E1033" s="141" t="s">
        <v>1829</v>
      </c>
      <c r="F1033" s="141" t="s">
        <v>1756</v>
      </c>
      <c r="G1033" s="154" t="str">
        <f t="shared" si="193"/>
        <v>/</v>
      </c>
      <c r="H1033" s="141" t="str">
        <f t="shared" si="194"/>
        <v>/</v>
      </c>
      <c r="I1033" s="139" t="e">
        <f t="shared" si="188"/>
        <v>#NUM!</v>
      </c>
      <c r="J1033" s="139" t="e">
        <f t="shared" si="189"/>
        <v>#NUM!</v>
      </c>
      <c r="K1033" s="155">
        <f t="shared" si="192"/>
        <v>-1</v>
      </c>
      <c r="N1033" s="139">
        <f t="shared" si="190"/>
        <v>0</v>
      </c>
      <c r="O1033" s="139">
        <f t="shared" si="191"/>
        <v>1</v>
      </c>
      <c r="Q1033" s="186"/>
      <c r="R1033" s="186" t="s">
        <v>873</v>
      </c>
      <c r="S1033" s="139"/>
      <c r="V1033" s="139"/>
    </row>
    <row r="1034" spans="4:22">
      <c r="D1034" s="139"/>
      <c r="E1034" s="141" t="s">
        <v>1829</v>
      </c>
      <c r="F1034" s="141" t="s">
        <v>1756</v>
      </c>
      <c r="G1034" s="154" t="str">
        <f t="shared" si="193"/>
        <v>/</v>
      </c>
      <c r="H1034" s="141" t="str">
        <f t="shared" si="194"/>
        <v>/</v>
      </c>
      <c r="I1034" s="139" t="e">
        <f t="shared" si="188"/>
        <v>#NUM!</v>
      </c>
      <c r="J1034" s="139" t="e">
        <f t="shared" si="189"/>
        <v>#NUM!</v>
      </c>
      <c r="K1034" s="155">
        <f t="shared" si="192"/>
        <v>-1</v>
      </c>
      <c r="N1034" s="139">
        <f t="shared" si="190"/>
        <v>0</v>
      </c>
      <c r="O1034" s="139">
        <f t="shared" si="191"/>
        <v>1</v>
      </c>
      <c r="Q1034" s="186"/>
      <c r="R1034" s="186" t="s">
        <v>873</v>
      </c>
      <c r="S1034" s="139"/>
      <c r="V1034" s="139"/>
    </row>
    <row r="1035" spans="4:22">
      <c r="D1035" s="139"/>
      <c r="E1035" s="141" t="s">
        <v>1829</v>
      </c>
      <c r="F1035" s="141" t="s">
        <v>1756</v>
      </c>
      <c r="G1035" s="154" t="str">
        <f t="shared" si="193"/>
        <v>/</v>
      </c>
      <c r="H1035" s="141" t="str">
        <f t="shared" si="194"/>
        <v>/</v>
      </c>
      <c r="I1035" s="139" t="e">
        <f t="shared" si="188"/>
        <v>#NUM!</v>
      </c>
      <c r="J1035" s="139" t="e">
        <f t="shared" si="189"/>
        <v>#NUM!</v>
      </c>
      <c r="K1035" s="155">
        <f t="shared" si="192"/>
        <v>-1</v>
      </c>
      <c r="N1035" s="139">
        <f t="shared" si="190"/>
        <v>0</v>
      </c>
      <c r="O1035" s="139">
        <f t="shared" si="191"/>
        <v>1</v>
      </c>
      <c r="Q1035" s="186"/>
      <c r="R1035" s="186" t="s">
        <v>873</v>
      </c>
      <c r="S1035" s="139"/>
      <c r="V1035" s="139"/>
    </row>
    <row r="1036" spans="4:22">
      <c r="D1036" s="139"/>
      <c r="E1036" s="141" t="s">
        <v>1829</v>
      </c>
      <c r="F1036" s="141" t="s">
        <v>1756</v>
      </c>
      <c r="G1036" s="154" t="str">
        <f t="shared" si="193"/>
        <v>/</v>
      </c>
      <c r="H1036" s="141" t="str">
        <f t="shared" si="194"/>
        <v>/</v>
      </c>
      <c r="I1036" s="139" t="e">
        <f t="shared" si="188"/>
        <v>#NUM!</v>
      </c>
      <c r="J1036" s="139" t="e">
        <f t="shared" si="189"/>
        <v>#NUM!</v>
      </c>
      <c r="K1036" s="155">
        <f t="shared" si="192"/>
        <v>-1</v>
      </c>
      <c r="N1036" s="139">
        <f t="shared" si="190"/>
        <v>0</v>
      </c>
      <c r="O1036" s="139">
        <f t="shared" si="191"/>
        <v>1</v>
      </c>
      <c r="Q1036" s="186"/>
      <c r="R1036" s="186" t="s">
        <v>873</v>
      </c>
      <c r="S1036" s="139"/>
      <c r="V1036" s="139"/>
    </row>
    <row r="1037" spans="4:22">
      <c r="D1037" s="139"/>
      <c r="E1037" s="141" t="s">
        <v>1829</v>
      </c>
      <c r="F1037" s="141" t="s">
        <v>1756</v>
      </c>
      <c r="G1037" s="154" t="str">
        <f t="shared" si="193"/>
        <v>/</v>
      </c>
      <c r="H1037" s="141" t="str">
        <f t="shared" si="194"/>
        <v>/</v>
      </c>
      <c r="I1037" s="139" t="e">
        <f t="shared" si="188"/>
        <v>#NUM!</v>
      </c>
      <c r="J1037" s="139" t="e">
        <f t="shared" si="189"/>
        <v>#NUM!</v>
      </c>
      <c r="K1037" s="155">
        <f t="shared" si="192"/>
        <v>-1</v>
      </c>
      <c r="N1037" s="139">
        <f t="shared" si="190"/>
        <v>0</v>
      </c>
      <c r="O1037" s="139">
        <f t="shared" si="191"/>
        <v>1</v>
      </c>
      <c r="Q1037" s="186"/>
      <c r="R1037" s="186" t="s">
        <v>873</v>
      </c>
      <c r="S1037" s="139"/>
      <c r="V1037" s="139"/>
    </row>
    <row r="1038" spans="4:22">
      <c r="D1038" s="139"/>
      <c r="E1038" s="141" t="s">
        <v>1829</v>
      </c>
      <c r="F1038" s="141" t="s">
        <v>1756</v>
      </c>
      <c r="G1038" s="154" t="str">
        <f t="shared" si="193"/>
        <v>/</v>
      </c>
      <c r="H1038" s="141" t="str">
        <f t="shared" si="194"/>
        <v>/</v>
      </c>
      <c r="I1038" s="139" t="e">
        <f t="shared" si="188"/>
        <v>#NUM!</v>
      </c>
      <c r="J1038" s="139" t="e">
        <f t="shared" si="189"/>
        <v>#NUM!</v>
      </c>
      <c r="K1038" s="155">
        <f t="shared" si="192"/>
        <v>-1</v>
      </c>
      <c r="N1038" s="139">
        <f t="shared" si="190"/>
        <v>0</v>
      </c>
      <c r="O1038" s="139">
        <f t="shared" si="191"/>
        <v>1</v>
      </c>
      <c r="Q1038" s="186"/>
      <c r="R1038" s="186" t="s">
        <v>873</v>
      </c>
      <c r="S1038" s="139"/>
      <c r="V1038" s="139"/>
    </row>
    <row r="1039" spans="4:22">
      <c r="D1039" s="139"/>
      <c r="E1039" s="141" t="s">
        <v>1829</v>
      </c>
      <c r="F1039" s="141" t="s">
        <v>1756</v>
      </c>
      <c r="G1039" s="154" t="str">
        <f t="shared" si="193"/>
        <v>/</v>
      </c>
      <c r="H1039" s="141" t="str">
        <f t="shared" si="194"/>
        <v>/</v>
      </c>
      <c r="I1039" s="139" t="e">
        <f t="shared" si="188"/>
        <v>#NUM!</v>
      </c>
      <c r="J1039" s="139" t="e">
        <f t="shared" si="189"/>
        <v>#NUM!</v>
      </c>
      <c r="K1039" s="155">
        <f t="shared" si="192"/>
        <v>-1</v>
      </c>
      <c r="N1039" s="139">
        <f t="shared" si="190"/>
        <v>0</v>
      </c>
      <c r="O1039" s="139">
        <f t="shared" si="191"/>
        <v>1</v>
      </c>
      <c r="Q1039" s="186"/>
      <c r="R1039" s="186" t="s">
        <v>873</v>
      </c>
      <c r="S1039" s="139"/>
      <c r="V1039" s="139"/>
    </row>
    <row r="1040" spans="4:22">
      <c r="D1040" s="139"/>
      <c r="E1040" s="141" t="s">
        <v>1829</v>
      </c>
      <c r="F1040" s="141" t="s">
        <v>1756</v>
      </c>
      <c r="G1040" s="154" t="str">
        <f t="shared" si="193"/>
        <v>/</v>
      </c>
      <c r="H1040" s="141" t="str">
        <f t="shared" si="194"/>
        <v>/</v>
      </c>
      <c r="I1040" s="139" t="e">
        <f t="shared" si="188"/>
        <v>#NUM!</v>
      </c>
      <c r="J1040" s="139" t="e">
        <f t="shared" si="189"/>
        <v>#NUM!</v>
      </c>
      <c r="K1040" s="155">
        <f t="shared" si="192"/>
        <v>-1</v>
      </c>
      <c r="N1040" s="139">
        <f t="shared" si="190"/>
        <v>0</v>
      </c>
      <c r="O1040" s="139">
        <f t="shared" si="191"/>
        <v>1</v>
      </c>
      <c r="Q1040" s="186"/>
      <c r="R1040" s="186" t="s">
        <v>873</v>
      </c>
      <c r="S1040" s="139"/>
      <c r="V1040" s="139"/>
    </row>
    <row r="1041" spans="4:22">
      <c r="D1041" s="139"/>
      <c r="E1041" s="141" t="s">
        <v>1829</v>
      </c>
      <c r="F1041" s="141" t="s">
        <v>1756</v>
      </c>
      <c r="G1041" s="154" t="str">
        <f t="shared" si="193"/>
        <v>/</v>
      </c>
      <c r="H1041" s="141" t="str">
        <f t="shared" si="194"/>
        <v>/</v>
      </c>
      <c r="I1041" s="139" t="e">
        <f t="shared" si="188"/>
        <v>#NUM!</v>
      </c>
      <c r="J1041" s="139" t="e">
        <f t="shared" si="189"/>
        <v>#NUM!</v>
      </c>
      <c r="K1041" s="155">
        <f t="shared" si="192"/>
        <v>-1</v>
      </c>
      <c r="N1041" s="139">
        <f t="shared" si="190"/>
        <v>0</v>
      </c>
      <c r="O1041" s="139">
        <f t="shared" si="191"/>
        <v>1</v>
      </c>
      <c r="Q1041" s="186"/>
      <c r="R1041" s="186" t="s">
        <v>873</v>
      </c>
      <c r="S1041" s="139"/>
      <c r="V1041" s="139"/>
    </row>
    <row r="1042" spans="4:22">
      <c r="D1042" s="139"/>
      <c r="E1042" s="141" t="s">
        <v>1829</v>
      </c>
      <c r="F1042" s="141" t="s">
        <v>1756</v>
      </c>
      <c r="G1042" s="154" t="str">
        <f t="shared" si="193"/>
        <v>/</v>
      </c>
      <c r="H1042" s="141" t="str">
        <f t="shared" si="194"/>
        <v>/</v>
      </c>
      <c r="I1042" s="139" t="e">
        <f t="shared" si="188"/>
        <v>#NUM!</v>
      </c>
      <c r="J1042" s="139" t="e">
        <f t="shared" si="189"/>
        <v>#NUM!</v>
      </c>
      <c r="K1042" s="155">
        <f t="shared" si="192"/>
        <v>-1</v>
      </c>
      <c r="N1042" s="139">
        <f t="shared" si="190"/>
        <v>0</v>
      </c>
      <c r="O1042" s="139">
        <f t="shared" si="191"/>
        <v>1</v>
      </c>
      <c r="Q1042" s="186"/>
      <c r="R1042" s="186" t="s">
        <v>873</v>
      </c>
      <c r="S1042" s="139"/>
      <c r="V1042" s="139"/>
    </row>
    <row r="1043" spans="4:22">
      <c r="D1043" s="139"/>
      <c r="E1043" s="141" t="s">
        <v>1829</v>
      </c>
      <c r="F1043" s="141" t="s">
        <v>1756</v>
      </c>
      <c r="G1043" s="154" t="str">
        <f t="shared" si="193"/>
        <v>/</v>
      </c>
      <c r="H1043" s="141" t="str">
        <f t="shared" si="194"/>
        <v>/</v>
      </c>
      <c r="I1043" s="139" t="e">
        <f t="shared" si="188"/>
        <v>#NUM!</v>
      </c>
      <c r="J1043" s="139" t="e">
        <f t="shared" si="189"/>
        <v>#NUM!</v>
      </c>
      <c r="K1043" s="155">
        <f t="shared" si="192"/>
        <v>-1</v>
      </c>
      <c r="N1043" s="139">
        <f t="shared" si="190"/>
        <v>0</v>
      </c>
      <c r="O1043" s="139">
        <f t="shared" si="191"/>
        <v>1</v>
      </c>
      <c r="Q1043" s="186"/>
      <c r="R1043" s="186" t="s">
        <v>873</v>
      </c>
      <c r="S1043" s="139"/>
      <c r="V1043" s="139"/>
    </row>
    <row r="1044" spans="4:22">
      <c r="D1044" s="139"/>
      <c r="E1044" s="141" t="s">
        <v>1829</v>
      </c>
      <c r="F1044" s="141" t="s">
        <v>1756</v>
      </c>
      <c r="G1044" s="154" t="str">
        <f t="shared" si="193"/>
        <v>/</v>
      </c>
      <c r="H1044" s="141" t="str">
        <f t="shared" si="194"/>
        <v>/</v>
      </c>
      <c r="I1044" s="139" t="e">
        <f t="shared" si="188"/>
        <v>#NUM!</v>
      </c>
      <c r="J1044" s="139" t="e">
        <f t="shared" si="189"/>
        <v>#NUM!</v>
      </c>
      <c r="K1044" s="155">
        <f t="shared" si="192"/>
        <v>-1</v>
      </c>
      <c r="N1044" s="139">
        <f t="shared" si="190"/>
        <v>0</v>
      </c>
      <c r="O1044" s="139">
        <f t="shared" si="191"/>
        <v>1</v>
      </c>
      <c r="Q1044" s="186"/>
      <c r="R1044" s="186" t="s">
        <v>873</v>
      </c>
      <c r="S1044" s="139"/>
      <c r="V1044" s="139"/>
    </row>
    <row r="1045" spans="4:22">
      <c r="D1045" s="139"/>
      <c r="E1045" s="141" t="s">
        <v>1829</v>
      </c>
      <c r="F1045" s="141" t="s">
        <v>1756</v>
      </c>
      <c r="G1045" s="154" t="str">
        <f t="shared" si="193"/>
        <v>/</v>
      </c>
      <c r="H1045" s="141" t="str">
        <f t="shared" si="194"/>
        <v>/</v>
      </c>
      <c r="I1045" s="139" t="e">
        <f t="shared" si="188"/>
        <v>#NUM!</v>
      </c>
      <c r="J1045" s="139" t="e">
        <f t="shared" si="189"/>
        <v>#NUM!</v>
      </c>
      <c r="K1045" s="155">
        <f t="shared" si="192"/>
        <v>-1</v>
      </c>
      <c r="N1045" s="139">
        <f t="shared" si="190"/>
        <v>0</v>
      </c>
      <c r="O1045" s="139">
        <f t="shared" si="191"/>
        <v>1</v>
      </c>
      <c r="Q1045" s="186"/>
      <c r="R1045" s="186" t="s">
        <v>873</v>
      </c>
      <c r="S1045" s="139"/>
      <c r="V1045" s="139"/>
    </row>
    <row r="1046" spans="4:22">
      <c r="D1046" s="139"/>
      <c r="E1046" s="141" t="s">
        <v>1829</v>
      </c>
      <c r="F1046" s="141" t="s">
        <v>1756</v>
      </c>
      <c r="G1046" s="154" t="str">
        <f t="shared" si="193"/>
        <v>/</v>
      </c>
      <c r="H1046" s="141" t="str">
        <f t="shared" si="194"/>
        <v>/</v>
      </c>
      <c r="I1046" s="139" t="e">
        <f t="shared" si="188"/>
        <v>#NUM!</v>
      </c>
      <c r="J1046" s="139" t="e">
        <f t="shared" si="189"/>
        <v>#NUM!</v>
      </c>
      <c r="K1046" s="155">
        <f t="shared" si="192"/>
        <v>-1</v>
      </c>
      <c r="N1046" s="139">
        <f t="shared" si="190"/>
        <v>0</v>
      </c>
      <c r="O1046" s="139">
        <f t="shared" si="191"/>
        <v>1</v>
      </c>
      <c r="Q1046" s="186"/>
      <c r="R1046" s="186" t="s">
        <v>873</v>
      </c>
      <c r="S1046" s="139"/>
      <c r="V1046" s="139"/>
    </row>
    <row r="1047" spans="4:22">
      <c r="D1047" s="139"/>
      <c r="E1047" s="141" t="s">
        <v>1829</v>
      </c>
      <c r="F1047" s="141" t="s">
        <v>1756</v>
      </c>
      <c r="G1047" s="154" t="str">
        <f t="shared" si="193"/>
        <v>/</v>
      </c>
      <c r="H1047" s="141" t="str">
        <f t="shared" si="194"/>
        <v>/</v>
      </c>
      <c r="I1047" s="139" t="e">
        <f t="shared" si="188"/>
        <v>#NUM!</v>
      </c>
      <c r="J1047" s="139" t="e">
        <f t="shared" si="189"/>
        <v>#NUM!</v>
      </c>
      <c r="K1047" s="155">
        <f t="shared" si="192"/>
        <v>-1</v>
      </c>
      <c r="N1047" s="139">
        <f t="shared" si="190"/>
        <v>0</v>
      </c>
      <c r="O1047" s="139">
        <f t="shared" si="191"/>
        <v>1</v>
      </c>
      <c r="Q1047" s="186"/>
      <c r="R1047" s="186" t="s">
        <v>873</v>
      </c>
      <c r="S1047" s="139"/>
      <c r="V1047" s="139"/>
    </row>
    <row r="1048" spans="4:22">
      <c r="D1048" s="139"/>
      <c r="E1048" s="141" t="s">
        <v>1829</v>
      </c>
      <c r="F1048" s="141" t="s">
        <v>1756</v>
      </c>
      <c r="G1048" s="154" t="str">
        <f t="shared" si="193"/>
        <v>/</v>
      </c>
      <c r="H1048" s="141" t="str">
        <f t="shared" si="194"/>
        <v>/</v>
      </c>
      <c r="I1048" s="139" t="e">
        <f t="shared" si="188"/>
        <v>#NUM!</v>
      </c>
      <c r="J1048" s="139" t="e">
        <f t="shared" si="189"/>
        <v>#NUM!</v>
      </c>
      <c r="K1048" s="155">
        <f t="shared" si="192"/>
        <v>-1</v>
      </c>
      <c r="N1048" s="139">
        <f t="shared" si="190"/>
        <v>0</v>
      </c>
      <c r="O1048" s="139">
        <f t="shared" si="191"/>
        <v>1</v>
      </c>
      <c r="Q1048" s="186"/>
      <c r="R1048" s="186" t="s">
        <v>873</v>
      </c>
      <c r="S1048" s="139"/>
      <c r="V1048" s="139"/>
    </row>
    <row r="1049" spans="4:22">
      <c r="D1049" s="139"/>
      <c r="E1049" s="141" t="s">
        <v>1829</v>
      </c>
      <c r="F1049" s="141" t="s">
        <v>1756</v>
      </c>
      <c r="G1049" s="154" t="str">
        <f t="shared" si="193"/>
        <v>/</v>
      </c>
      <c r="H1049" s="141" t="str">
        <f t="shared" si="194"/>
        <v>/</v>
      </c>
      <c r="I1049" s="139" t="e">
        <f t="shared" si="188"/>
        <v>#NUM!</v>
      </c>
      <c r="J1049" s="139" t="e">
        <f t="shared" si="189"/>
        <v>#NUM!</v>
      </c>
      <c r="K1049" s="155">
        <f t="shared" si="192"/>
        <v>-1</v>
      </c>
      <c r="N1049" s="139">
        <f t="shared" si="190"/>
        <v>0</v>
      </c>
      <c r="O1049" s="139">
        <f t="shared" si="191"/>
        <v>1</v>
      </c>
      <c r="Q1049" s="186"/>
      <c r="R1049" s="186" t="s">
        <v>873</v>
      </c>
      <c r="S1049" s="139"/>
      <c r="V1049" s="139"/>
    </row>
    <row r="1050" spans="4:22">
      <c r="D1050" s="139"/>
      <c r="E1050" s="141" t="s">
        <v>1829</v>
      </c>
      <c r="F1050" s="141" t="s">
        <v>1756</v>
      </c>
      <c r="G1050" s="154" t="str">
        <f t="shared" si="193"/>
        <v>/</v>
      </c>
      <c r="H1050" s="141" t="str">
        <f t="shared" si="194"/>
        <v>/</v>
      </c>
      <c r="I1050" s="139" t="e">
        <f t="shared" si="188"/>
        <v>#NUM!</v>
      </c>
      <c r="J1050" s="139" t="e">
        <f t="shared" si="189"/>
        <v>#NUM!</v>
      </c>
      <c r="K1050" s="155">
        <f t="shared" si="192"/>
        <v>-1</v>
      </c>
      <c r="N1050" s="139">
        <f t="shared" si="190"/>
        <v>0</v>
      </c>
      <c r="O1050" s="139">
        <f t="shared" si="191"/>
        <v>1</v>
      </c>
      <c r="Q1050" s="186"/>
      <c r="R1050" s="186" t="s">
        <v>873</v>
      </c>
      <c r="S1050" s="139"/>
      <c r="V1050" s="139"/>
    </row>
    <row r="1051" spans="4:22">
      <c r="D1051" s="139"/>
      <c r="E1051" s="141" t="s">
        <v>1829</v>
      </c>
      <c r="F1051" s="141" t="s">
        <v>1756</v>
      </c>
      <c r="G1051" s="154" t="str">
        <f t="shared" si="193"/>
        <v>/</v>
      </c>
      <c r="H1051" s="141" t="str">
        <f t="shared" si="194"/>
        <v>/</v>
      </c>
      <c r="I1051" s="139" t="e">
        <f t="shared" si="188"/>
        <v>#NUM!</v>
      </c>
      <c r="J1051" s="139" t="e">
        <f t="shared" si="189"/>
        <v>#NUM!</v>
      </c>
      <c r="K1051" s="155">
        <f t="shared" si="192"/>
        <v>-1</v>
      </c>
      <c r="N1051" s="139">
        <f t="shared" si="190"/>
        <v>0</v>
      </c>
      <c r="O1051" s="139">
        <f t="shared" si="191"/>
        <v>1</v>
      </c>
      <c r="Q1051" s="186"/>
      <c r="R1051" s="186" t="s">
        <v>873</v>
      </c>
      <c r="S1051" s="139"/>
      <c r="V1051" s="139"/>
    </row>
    <row r="1052" spans="4:22">
      <c r="D1052" s="139"/>
      <c r="E1052" s="141" t="s">
        <v>1829</v>
      </c>
      <c r="F1052" s="141" t="s">
        <v>1756</v>
      </c>
      <c r="G1052" s="154" t="str">
        <f t="shared" si="193"/>
        <v>/</v>
      </c>
      <c r="H1052" s="141" t="str">
        <f t="shared" si="194"/>
        <v>/</v>
      </c>
      <c r="I1052" s="139" t="e">
        <f t="shared" si="188"/>
        <v>#NUM!</v>
      </c>
      <c r="J1052" s="139" t="e">
        <f t="shared" si="189"/>
        <v>#NUM!</v>
      </c>
      <c r="K1052" s="155">
        <f t="shared" si="192"/>
        <v>-1</v>
      </c>
      <c r="N1052" s="139">
        <f t="shared" si="190"/>
        <v>0</v>
      </c>
      <c r="O1052" s="139">
        <f t="shared" si="191"/>
        <v>1</v>
      </c>
      <c r="Q1052" s="186"/>
      <c r="R1052" s="186" t="s">
        <v>873</v>
      </c>
      <c r="S1052" s="139"/>
      <c r="V1052" s="139"/>
    </row>
    <row r="1053" spans="4:22">
      <c r="D1053" s="139"/>
      <c r="E1053" s="141" t="s">
        <v>1829</v>
      </c>
      <c r="F1053" s="141" t="s">
        <v>1756</v>
      </c>
      <c r="G1053" s="154" t="str">
        <f t="shared" si="193"/>
        <v>/</v>
      </c>
      <c r="H1053" s="141" t="str">
        <f t="shared" si="194"/>
        <v>/</v>
      </c>
      <c r="I1053" s="139" t="e">
        <f t="shared" si="188"/>
        <v>#NUM!</v>
      </c>
      <c r="J1053" s="139" t="e">
        <f t="shared" si="189"/>
        <v>#NUM!</v>
      </c>
      <c r="K1053" s="155">
        <f t="shared" si="192"/>
        <v>-1</v>
      </c>
      <c r="N1053" s="139">
        <f t="shared" si="190"/>
        <v>0</v>
      </c>
      <c r="O1053" s="139">
        <f t="shared" si="191"/>
        <v>1</v>
      </c>
      <c r="Q1053" s="186"/>
      <c r="R1053" s="186" t="s">
        <v>873</v>
      </c>
      <c r="S1053" s="139"/>
      <c r="V1053" s="139"/>
    </row>
    <row r="1054" spans="4:22">
      <c r="D1054" s="139"/>
      <c r="E1054" s="141" t="s">
        <v>1829</v>
      </c>
      <c r="F1054" s="141" t="s">
        <v>1756</v>
      </c>
      <c r="G1054" s="154" t="str">
        <f t="shared" si="193"/>
        <v>/</v>
      </c>
      <c r="H1054" s="141" t="str">
        <f t="shared" si="194"/>
        <v>/</v>
      </c>
      <c r="I1054" s="139" t="e">
        <f t="shared" si="188"/>
        <v>#NUM!</v>
      </c>
      <c r="J1054" s="139" t="e">
        <f t="shared" si="189"/>
        <v>#NUM!</v>
      </c>
      <c r="K1054" s="155">
        <f t="shared" si="192"/>
        <v>-1</v>
      </c>
      <c r="N1054" s="139">
        <f t="shared" si="190"/>
        <v>0</v>
      </c>
      <c r="O1054" s="139">
        <f t="shared" si="191"/>
        <v>1</v>
      </c>
      <c r="Q1054" s="186"/>
      <c r="R1054" s="186" t="s">
        <v>873</v>
      </c>
      <c r="S1054" s="139"/>
      <c r="V1054" s="139"/>
    </row>
    <row r="1055" spans="4:22">
      <c r="D1055" s="139"/>
      <c r="E1055" s="141" t="s">
        <v>1829</v>
      </c>
      <c r="F1055" s="141" t="s">
        <v>1756</v>
      </c>
      <c r="G1055" s="154" t="str">
        <f t="shared" si="193"/>
        <v>/</v>
      </c>
      <c r="H1055" s="141" t="str">
        <f t="shared" si="194"/>
        <v>/</v>
      </c>
      <c r="I1055" s="139" t="e">
        <f t="shared" si="188"/>
        <v>#NUM!</v>
      </c>
      <c r="J1055" s="139" t="e">
        <f t="shared" si="189"/>
        <v>#NUM!</v>
      </c>
      <c r="K1055" s="155">
        <f t="shared" si="192"/>
        <v>-1</v>
      </c>
      <c r="N1055" s="139">
        <f t="shared" si="190"/>
        <v>0</v>
      </c>
      <c r="O1055" s="139">
        <f t="shared" si="191"/>
        <v>1</v>
      </c>
      <c r="Q1055" s="186"/>
      <c r="R1055" s="186" t="s">
        <v>873</v>
      </c>
      <c r="S1055" s="139"/>
      <c r="V1055" s="139"/>
    </row>
    <row r="1056" spans="4:22">
      <c r="D1056" s="139"/>
      <c r="E1056" s="141" t="s">
        <v>1829</v>
      </c>
      <c r="F1056" s="141" t="s">
        <v>1756</v>
      </c>
      <c r="G1056" s="154" t="str">
        <f t="shared" si="193"/>
        <v>/</v>
      </c>
      <c r="H1056" s="141" t="str">
        <f t="shared" si="194"/>
        <v>/</v>
      </c>
      <c r="I1056" s="139" t="e">
        <f t="shared" si="188"/>
        <v>#NUM!</v>
      </c>
      <c r="J1056" s="139" t="e">
        <f t="shared" si="189"/>
        <v>#NUM!</v>
      </c>
      <c r="K1056" s="155">
        <f t="shared" si="192"/>
        <v>-1</v>
      </c>
      <c r="N1056" s="139">
        <f t="shared" si="190"/>
        <v>0</v>
      </c>
      <c r="O1056" s="139">
        <f t="shared" si="191"/>
        <v>1</v>
      </c>
      <c r="Q1056" s="186"/>
      <c r="R1056" s="186" t="s">
        <v>873</v>
      </c>
      <c r="S1056" s="139"/>
      <c r="V1056" s="139"/>
    </row>
    <row r="1057" spans="4:22">
      <c r="D1057" s="139"/>
      <c r="E1057" s="141" t="s">
        <v>1829</v>
      </c>
      <c r="F1057" s="141" t="s">
        <v>1756</v>
      </c>
      <c r="G1057" s="154" t="str">
        <f t="shared" si="193"/>
        <v>/</v>
      </c>
      <c r="H1057" s="141" t="str">
        <f t="shared" si="194"/>
        <v>/</v>
      </c>
      <c r="I1057" s="139" t="e">
        <f t="shared" si="188"/>
        <v>#NUM!</v>
      </c>
      <c r="J1057" s="139" t="e">
        <f t="shared" si="189"/>
        <v>#NUM!</v>
      </c>
      <c r="K1057" s="155">
        <f t="shared" si="192"/>
        <v>-1</v>
      </c>
      <c r="N1057" s="139">
        <f t="shared" si="190"/>
        <v>0</v>
      </c>
      <c r="O1057" s="139">
        <f t="shared" si="191"/>
        <v>1</v>
      </c>
      <c r="Q1057" s="186"/>
      <c r="R1057" s="186" t="s">
        <v>873</v>
      </c>
      <c r="S1057" s="139"/>
      <c r="V1057" s="139"/>
    </row>
    <row r="1058" spans="4:22">
      <c r="D1058" s="139"/>
      <c r="E1058" s="141" t="s">
        <v>1829</v>
      </c>
      <c r="F1058" s="141" t="s">
        <v>1756</v>
      </c>
      <c r="G1058" s="154" t="str">
        <f t="shared" si="193"/>
        <v>/</v>
      </c>
      <c r="H1058" s="141" t="str">
        <f t="shared" si="194"/>
        <v>/</v>
      </c>
      <c r="I1058" s="139" t="e">
        <f t="shared" si="188"/>
        <v>#NUM!</v>
      </c>
      <c r="J1058" s="139" t="e">
        <f t="shared" si="189"/>
        <v>#NUM!</v>
      </c>
      <c r="K1058" s="155">
        <f t="shared" si="192"/>
        <v>-1</v>
      </c>
      <c r="N1058" s="139">
        <f t="shared" si="190"/>
        <v>0</v>
      </c>
      <c r="O1058" s="139">
        <f t="shared" si="191"/>
        <v>1</v>
      </c>
      <c r="Q1058" s="186"/>
      <c r="R1058" s="186" t="s">
        <v>873</v>
      </c>
      <c r="S1058" s="139"/>
      <c r="V1058" s="139"/>
    </row>
    <row r="1059" spans="4:22">
      <c r="D1059" s="139"/>
      <c r="E1059" s="141" t="s">
        <v>1829</v>
      </c>
      <c r="F1059" s="141" t="s">
        <v>1756</v>
      </c>
      <c r="G1059" s="154" t="str">
        <f t="shared" si="193"/>
        <v>/</v>
      </c>
      <c r="H1059" s="141" t="str">
        <f t="shared" si="194"/>
        <v>/</v>
      </c>
      <c r="I1059" s="139" t="e">
        <f t="shared" si="188"/>
        <v>#NUM!</v>
      </c>
      <c r="J1059" s="139" t="e">
        <f t="shared" si="189"/>
        <v>#NUM!</v>
      </c>
      <c r="K1059" s="155">
        <f t="shared" si="192"/>
        <v>-1</v>
      </c>
      <c r="N1059" s="139">
        <f t="shared" si="190"/>
        <v>0</v>
      </c>
      <c r="O1059" s="139">
        <f t="shared" si="191"/>
        <v>1</v>
      </c>
      <c r="Q1059" s="186"/>
      <c r="R1059" s="186" t="s">
        <v>873</v>
      </c>
      <c r="S1059" s="139"/>
      <c r="V1059" s="139"/>
    </row>
    <row r="1060" spans="4:22">
      <c r="D1060" s="139"/>
      <c r="E1060" s="141" t="s">
        <v>1829</v>
      </c>
      <c r="F1060" s="141" t="s">
        <v>1756</v>
      </c>
      <c r="G1060" s="154" t="str">
        <f t="shared" si="193"/>
        <v>/</v>
      </c>
      <c r="H1060" s="141" t="str">
        <f t="shared" si="194"/>
        <v>/</v>
      </c>
      <c r="I1060" s="139" t="e">
        <f t="shared" si="188"/>
        <v>#NUM!</v>
      </c>
      <c r="J1060" s="139" t="e">
        <f t="shared" si="189"/>
        <v>#NUM!</v>
      </c>
      <c r="K1060" s="155">
        <f t="shared" si="192"/>
        <v>-1</v>
      </c>
      <c r="N1060" s="139">
        <f t="shared" si="190"/>
        <v>0</v>
      </c>
      <c r="O1060" s="139">
        <f t="shared" si="191"/>
        <v>1</v>
      </c>
      <c r="Q1060" s="186"/>
      <c r="R1060" s="186" t="s">
        <v>873</v>
      </c>
      <c r="S1060" s="139"/>
      <c r="V1060" s="139"/>
    </row>
    <row r="1061" spans="4:22">
      <c r="D1061" s="139"/>
      <c r="E1061" s="141" t="s">
        <v>1829</v>
      </c>
      <c r="F1061" s="141" t="s">
        <v>1756</v>
      </c>
      <c r="G1061" s="154" t="str">
        <f t="shared" si="193"/>
        <v>/</v>
      </c>
      <c r="H1061" s="141" t="str">
        <f t="shared" si="194"/>
        <v>/</v>
      </c>
      <c r="I1061" s="139" t="e">
        <f t="shared" si="188"/>
        <v>#NUM!</v>
      </c>
      <c r="J1061" s="139" t="e">
        <f t="shared" si="189"/>
        <v>#NUM!</v>
      </c>
      <c r="K1061" s="155">
        <f t="shared" si="192"/>
        <v>-1</v>
      </c>
      <c r="N1061" s="139">
        <f t="shared" si="190"/>
        <v>0</v>
      </c>
      <c r="O1061" s="139">
        <f t="shared" si="191"/>
        <v>1</v>
      </c>
      <c r="Q1061" s="186"/>
      <c r="R1061" s="186" t="s">
        <v>873</v>
      </c>
      <c r="S1061" s="139"/>
      <c r="V1061" s="139"/>
    </row>
    <row r="1062" spans="4:22">
      <c r="D1062" s="139"/>
      <c r="E1062" s="141" t="s">
        <v>1829</v>
      </c>
      <c r="F1062" s="141" t="s">
        <v>1756</v>
      </c>
      <c r="G1062" s="154" t="str">
        <f t="shared" si="193"/>
        <v>/</v>
      </c>
      <c r="H1062" s="141" t="str">
        <f t="shared" si="194"/>
        <v>/</v>
      </c>
      <c r="I1062" s="139" t="e">
        <f t="shared" si="188"/>
        <v>#NUM!</v>
      </c>
      <c r="J1062" s="139" t="e">
        <f t="shared" si="189"/>
        <v>#NUM!</v>
      </c>
      <c r="K1062" s="155">
        <f t="shared" si="192"/>
        <v>-1</v>
      </c>
      <c r="N1062" s="139">
        <f t="shared" si="190"/>
        <v>0</v>
      </c>
      <c r="O1062" s="139">
        <f t="shared" si="191"/>
        <v>1</v>
      </c>
      <c r="Q1062" s="186"/>
      <c r="R1062" s="186" t="s">
        <v>873</v>
      </c>
      <c r="S1062" s="139"/>
      <c r="V1062" s="139"/>
    </row>
    <row r="1063" spans="4:22">
      <c r="D1063" s="139"/>
      <c r="E1063" s="141" t="s">
        <v>1829</v>
      </c>
      <c r="F1063" s="141" t="s">
        <v>1756</v>
      </c>
      <c r="G1063" s="154" t="str">
        <f t="shared" si="193"/>
        <v>/</v>
      </c>
      <c r="H1063" s="141" t="str">
        <f t="shared" si="194"/>
        <v>/</v>
      </c>
      <c r="I1063" s="139" t="e">
        <f t="shared" si="188"/>
        <v>#NUM!</v>
      </c>
      <c r="J1063" s="139" t="e">
        <f t="shared" si="189"/>
        <v>#NUM!</v>
      </c>
      <c r="K1063" s="155">
        <f t="shared" si="192"/>
        <v>-1</v>
      </c>
      <c r="N1063" s="139">
        <f t="shared" si="190"/>
        <v>0</v>
      </c>
      <c r="O1063" s="139">
        <f t="shared" si="191"/>
        <v>1</v>
      </c>
      <c r="Q1063" s="186"/>
      <c r="R1063" s="186" t="s">
        <v>873</v>
      </c>
      <c r="S1063" s="139"/>
      <c r="V1063" s="139"/>
    </row>
    <row r="1064" spans="4:22">
      <c r="D1064" s="139"/>
      <c r="E1064" s="141" t="s">
        <v>1829</v>
      </c>
      <c r="F1064" s="141" t="s">
        <v>1756</v>
      </c>
      <c r="G1064" s="154" t="str">
        <f t="shared" si="193"/>
        <v>/</v>
      </c>
      <c r="H1064" s="141" t="str">
        <f t="shared" si="194"/>
        <v>/</v>
      </c>
      <c r="I1064" s="139" t="e">
        <f t="shared" si="188"/>
        <v>#NUM!</v>
      </c>
      <c r="J1064" s="139" t="e">
        <f t="shared" si="189"/>
        <v>#NUM!</v>
      </c>
      <c r="K1064" s="155">
        <f t="shared" si="192"/>
        <v>-1</v>
      </c>
      <c r="N1064" s="139">
        <f t="shared" si="190"/>
        <v>0</v>
      </c>
      <c r="O1064" s="139">
        <f t="shared" si="191"/>
        <v>1</v>
      </c>
      <c r="Q1064" s="186"/>
      <c r="R1064" s="186" t="s">
        <v>873</v>
      </c>
      <c r="S1064" s="139"/>
      <c r="V1064" s="139"/>
    </row>
    <row r="1065" spans="4:22">
      <c r="D1065" s="139"/>
      <c r="E1065" s="141" t="s">
        <v>1829</v>
      </c>
      <c r="F1065" s="141" t="s">
        <v>1756</v>
      </c>
      <c r="G1065" s="154" t="str">
        <f t="shared" si="193"/>
        <v>/</v>
      </c>
      <c r="H1065" s="141" t="str">
        <f t="shared" si="194"/>
        <v>/</v>
      </c>
      <c r="I1065" s="139" t="e">
        <f t="shared" si="188"/>
        <v>#NUM!</v>
      </c>
      <c r="J1065" s="139" t="e">
        <f t="shared" si="189"/>
        <v>#NUM!</v>
      </c>
      <c r="K1065" s="155">
        <f t="shared" si="192"/>
        <v>-1</v>
      </c>
      <c r="N1065" s="139">
        <f t="shared" si="190"/>
        <v>0</v>
      </c>
      <c r="O1065" s="139">
        <f t="shared" si="191"/>
        <v>1</v>
      </c>
      <c r="Q1065" s="186"/>
      <c r="R1065" s="186" t="s">
        <v>873</v>
      </c>
      <c r="S1065" s="139"/>
      <c r="V1065" s="139"/>
    </row>
    <row r="1066" spans="4:22">
      <c r="D1066" s="139"/>
      <c r="E1066" s="141" t="s">
        <v>1829</v>
      </c>
      <c r="F1066" s="141" t="s">
        <v>1756</v>
      </c>
      <c r="G1066" s="154" t="str">
        <f t="shared" si="193"/>
        <v>/</v>
      </c>
      <c r="H1066" s="141" t="str">
        <f t="shared" si="194"/>
        <v>/</v>
      </c>
      <c r="I1066" s="139" t="e">
        <f t="shared" si="188"/>
        <v>#NUM!</v>
      </c>
      <c r="J1066" s="139" t="e">
        <f t="shared" si="189"/>
        <v>#NUM!</v>
      </c>
      <c r="K1066" s="155">
        <f t="shared" si="192"/>
        <v>-1</v>
      </c>
      <c r="N1066" s="139">
        <f t="shared" si="190"/>
        <v>0</v>
      </c>
      <c r="O1066" s="139">
        <f t="shared" si="191"/>
        <v>1</v>
      </c>
      <c r="Q1066" s="186"/>
      <c r="R1066" s="186" t="s">
        <v>873</v>
      </c>
      <c r="S1066" s="139"/>
      <c r="V1066" s="139"/>
    </row>
    <row r="1067" spans="4:22">
      <c r="D1067" s="139"/>
      <c r="E1067" s="141" t="s">
        <v>1829</v>
      </c>
      <c r="F1067" s="141" t="s">
        <v>1756</v>
      </c>
      <c r="G1067" s="154" t="str">
        <f t="shared" si="193"/>
        <v>/</v>
      </c>
      <c r="H1067" s="141" t="str">
        <f t="shared" si="194"/>
        <v>/</v>
      </c>
      <c r="I1067" s="139" t="e">
        <f t="shared" si="188"/>
        <v>#NUM!</v>
      </c>
      <c r="J1067" s="139" t="e">
        <f t="shared" si="189"/>
        <v>#NUM!</v>
      </c>
      <c r="K1067" s="155">
        <f t="shared" si="192"/>
        <v>-1</v>
      </c>
      <c r="N1067" s="139">
        <f t="shared" si="190"/>
        <v>0</v>
      </c>
      <c r="O1067" s="139">
        <f t="shared" si="191"/>
        <v>1</v>
      </c>
      <c r="Q1067" s="186"/>
      <c r="R1067" s="186" t="s">
        <v>873</v>
      </c>
      <c r="S1067" s="139"/>
      <c r="V1067" s="139"/>
    </row>
    <row r="1068" spans="4:22">
      <c r="D1068" s="139"/>
      <c r="E1068" s="141" t="s">
        <v>1829</v>
      </c>
      <c r="F1068" s="141" t="s">
        <v>1756</v>
      </c>
      <c r="G1068" s="154" t="str">
        <f t="shared" si="193"/>
        <v>/</v>
      </c>
      <c r="H1068" s="141" t="str">
        <f t="shared" si="194"/>
        <v>/</v>
      </c>
      <c r="I1068" s="139" t="e">
        <f t="shared" si="188"/>
        <v>#NUM!</v>
      </c>
      <c r="J1068" s="139" t="e">
        <f t="shared" si="189"/>
        <v>#NUM!</v>
      </c>
      <c r="K1068" s="155">
        <f t="shared" si="192"/>
        <v>-1</v>
      </c>
      <c r="N1068" s="139">
        <f t="shared" si="190"/>
        <v>0</v>
      </c>
      <c r="O1068" s="139">
        <f t="shared" si="191"/>
        <v>1</v>
      </c>
      <c r="Q1068" s="186"/>
      <c r="R1068" s="186" t="s">
        <v>873</v>
      </c>
      <c r="S1068" s="139"/>
      <c r="V1068" s="139"/>
    </row>
    <row r="1069" spans="4:22">
      <c r="D1069" s="139"/>
      <c r="E1069" s="141" t="s">
        <v>1829</v>
      </c>
      <c r="F1069" s="141" t="s">
        <v>1756</v>
      </c>
      <c r="G1069" s="154" t="str">
        <f t="shared" si="193"/>
        <v>/</v>
      </c>
      <c r="H1069" s="141" t="str">
        <f t="shared" si="194"/>
        <v>/</v>
      </c>
      <c r="I1069" s="139" t="e">
        <f t="shared" si="188"/>
        <v>#NUM!</v>
      </c>
      <c r="J1069" s="139" t="e">
        <f t="shared" si="189"/>
        <v>#NUM!</v>
      </c>
      <c r="K1069" s="155">
        <f t="shared" si="192"/>
        <v>-1</v>
      </c>
      <c r="N1069" s="139">
        <f t="shared" si="190"/>
        <v>0</v>
      </c>
      <c r="O1069" s="139">
        <f t="shared" si="191"/>
        <v>1</v>
      </c>
      <c r="Q1069" s="186"/>
      <c r="R1069" s="186" t="s">
        <v>873</v>
      </c>
      <c r="S1069" s="139"/>
      <c r="V1069" s="139"/>
    </row>
    <row r="1070" spans="4:22">
      <c r="D1070" s="139"/>
      <c r="E1070" s="141" t="s">
        <v>1829</v>
      </c>
      <c r="F1070" s="141" t="s">
        <v>1756</v>
      </c>
      <c r="G1070" s="154" t="str">
        <f t="shared" si="193"/>
        <v>/</v>
      </c>
      <c r="H1070" s="141" t="str">
        <f t="shared" si="194"/>
        <v>/</v>
      </c>
      <c r="I1070" s="139" t="e">
        <f t="shared" si="188"/>
        <v>#NUM!</v>
      </c>
      <c r="J1070" s="139" t="e">
        <f t="shared" si="189"/>
        <v>#NUM!</v>
      </c>
      <c r="K1070" s="155">
        <f t="shared" si="192"/>
        <v>-1</v>
      </c>
      <c r="N1070" s="139">
        <f t="shared" si="190"/>
        <v>0</v>
      </c>
      <c r="O1070" s="139">
        <f t="shared" si="191"/>
        <v>1</v>
      </c>
      <c r="Q1070" s="186"/>
      <c r="R1070" s="186" t="s">
        <v>873</v>
      </c>
      <c r="S1070" s="139"/>
      <c r="V1070" s="139"/>
    </row>
    <row r="1071" spans="4:22">
      <c r="D1071" s="139"/>
      <c r="E1071" s="141" t="s">
        <v>1829</v>
      </c>
      <c r="F1071" s="141" t="s">
        <v>1756</v>
      </c>
      <c r="G1071" s="154" t="str">
        <f t="shared" si="193"/>
        <v>/</v>
      </c>
      <c r="H1071" s="141" t="str">
        <f t="shared" si="194"/>
        <v>/</v>
      </c>
      <c r="I1071" s="139" t="e">
        <f t="shared" si="188"/>
        <v>#NUM!</v>
      </c>
      <c r="J1071" s="139" t="e">
        <f t="shared" si="189"/>
        <v>#NUM!</v>
      </c>
      <c r="K1071" s="155">
        <f t="shared" si="192"/>
        <v>-1</v>
      </c>
      <c r="N1071" s="139">
        <f t="shared" si="190"/>
        <v>0</v>
      </c>
      <c r="O1071" s="139">
        <f t="shared" si="191"/>
        <v>1</v>
      </c>
      <c r="Q1071" s="186"/>
      <c r="R1071" s="186" t="s">
        <v>873</v>
      </c>
      <c r="S1071" s="139"/>
      <c r="V1071" s="139"/>
    </row>
    <row r="1072" spans="4:22">
      <c r="D1072" s="139"/>
      <c r="E1072" s="141" t="s">
        <v>1829</v>
      </c>
      <c r="F1072" s="141" t="s">
        <v>1756</v>
      </c>
      <c r="G1072" s="154" t="str">
        <f t="shared" si="193"/>
        <v>/</v>
      </c>
      <c r="H1072" s="141" t="str">
        <f t="shared" si="194"/>
        <v>/</v>
      </c>
      <c r="I1072" s="139" t="e">
        <f t="shared" si="188"/>
        <v>#NUM!</v>
      </c>
      <c r="J1072" s="139" t="e">
        <f t="shared" si="189"/>
        <v>#NUM!</v>
      </c>
      <c r="K1072" s="155">
        <f t="shared" si="192"/>
        <v>-1</v>
      </c>
      <c r="N1072" s="139">
        <f t="shared" si="190"/>
        <v>0</v>
      </c>
      <c r="O1072" s="139">
        <f t="shared" si="191"/>
        <v>1</v>
      </c>
      <c r="Q1072" s="186"/>
      <c r="R1072" s="186" t="s">
        <v>873</v>
      </c>
      <c r="S1072" s="139"/>
      <c r="V1072" s="139"/>
    </row>
    <row r="1073" spans="4:22">
      <c r="D1073" s="139"/>
      <c r="E1073" s="141" t="s">
        <v>1829</v>
      </c>
      <c r="F1073" s="141" t="s">
        <v>1756</v>
      </c>
      <c r="G1073" s="154" t="str">
        <f t="shared" si="193"/>
        <v>/</v>
      </c>
      <c r="H1073" s="141" t="str">
        <f t="shared" si="194"/>
        <v>/</v>
      </c>
      <c r="I1073" s="139" t="e">
        <f t="shared" si="188"/>
        <v>#NUM!</v>
      </c>
      <c r="J1073" s="139" t="e">
        <f t="shared" si="189"/>
        <v>#NUM!</v>
      </c>
      <c r="K1073" s="155">
        <f t="shared" si="192"/>
        <v>-1</v>
      </c>
      <c r="N1073" s="139">
        <f t="shared" si="190"/>
        <v>0</v>
      </c>
      <c r="O1073" s="139">
        <f t="shared" si="191"/>
        <v>1</v>
      </c>
      <c r="Q1073" s="186"/>
      <c r="R1073" s="186" t="s">
        <v>873</v>
      </c>
      <c r="S1073" s="139"/>
      <c r="V1073" s="139"/>
    </row>
    <row r="1074" spans="4:22">
      <c r="D1074" s="139"/>
      <c r="E1074" s="141" t="s">
        <v>1829</v>
      </c>
      <c r="F1074" s="141" t="s">
        <v>1756</v>
      </c>
      <c r="G1074" s="154" t="str">
        <f t="shared" si="193"/>
        <v>/</v>
      </c>
      <c r="H1074" s="141" t="str">
        <f t="shared" si="194"/>
        <v>/</v>
      </c>
      <c r="I1074" s="139" t="e">
        <f t="shared" si="188"/>
        <v>#NUM!</v>
      </c>
      <c r="J1074" s="139" t="e">
        <f t="shared" si="189"/>
        <v>#NUM!</v>
      </c>
      <c r="K1074" s="155">
        <f t="shared" si="192"/>
        <v>-1</v>
      </c>
      <c r="N1074" s="139">
        <f t="shared" si="190"/>
        <v>0</v>
      </c>
      <c r="O1074" s="139">
        <f t="shared" si="191"/>
        <v>1</v>
      </c>
      <c r="Q1074" s="186"/>
      <c r="R1074" s="186" t="s">
        <v>873</v>
      </c>
      <c r="S1074" s="139"/>
      <c r="V1074" s="139"/>
    </row>
    <row r="1075" spans="4:22">
      <c r="D1075" s="139"/>
      <c r="E1075" s="141" t="s">
        <v>1829</v>
      </c>
      <c r="F1075" s="141" t="s">
        <v>1756</v>
      </c>
      <c r="G1075" s="154" t="str">
        <f t="shared" si="193"/>
        <v>/</v>
      </c>
      <c r="H1075" s="141" t="str">
        <f t="shared" si="194"/>
        <v>/</v>
      </c>
      <c r="I1075" s="139" t="e">
        <f t="shared" ref="I1075:I1138" si="195">DAY(K1075)</f>
        <v>#NUM!</v>
      </c>
      <c r="J1075" s="139" t="e">
        <f t="shared" ref="J1075:J1138" si="196">MONTH(K1075)</f>
        <v>#NUM!</v>
      </c>
      <c r="K1075" s="155">
        <f t="shared" si="192"/>
        <v>-1</v>
      </c>
      <c r="N1075" s="139">
        <f t="shared" ref="N1075:N1138" si="197">DAY(P1075)</f>
        <v>0</v>
      </c>
      <c r="O1075" s="139">
        <f t="shared" ref="O1075:O1138" si="198">MONTH(P1075)</f>
        <v>1</v>
      </c>
      <c r="Q1075" s="186"/>
      <c r="R1075" s="186" t="s">
        <v>873</v>
      </c>
      <c r="S1075" s="139"/>
      <c r="V1075" s="139"/>
    </row>
    <row r="1076" spans="4:22">
      <c r="D1076" s="139"/>
      <c r="E1076" s="141" t="s">
        <v>1829</v>
      </c>
      <c r="F1076" s="141" t="s">
        <v>1756</v>
      </c>
      <c r="G1076" s="154" t="str">
        <f t="shared" si="193"/>
        <v>/</v>
      </c>
      <c r="H1076" s="141" t="str">
        <f t="shared" si="194"/>
        <v>/</v>
      </c>
      <c r="I1076" s="139" t="e">
        <f t="shared" si="195"/>
        <v>#NUM!</v>
      </c>
      <c r="J1076" s="139" t="e">
        <f t="shared" si="196"/>
        <v>#NUM!</v>
      </c>
      <c r="K1076" s="155">
        <f t="shared" si="192"/>
        <v>-1</v>
      </c>
      <c r="N1076" s="139">
        <f t="shared" si="197"/>
        <v>0</v>
      </c>
      <c r="O1076" s="139">
        <f t="shared" si="198"/>
        <v>1</v>
      </c>
      <c r="Q1076" s="186"/>
      <c r="R1076" s="186" t="s">
        <v>873</v>
      </c>
      <c r="S1076" s="139"/>
      <c r="V1076" s="139"/>
    </row>
    <row r="1077" spans="4:22">
      <c r="D1077" s="139"/>
      <c r="E1077" s="141" t="s">
        <v>1829</v>
      </c>
      <c r="F1077" s="141" t="s">
        <v>1756</v>
      </c>
      <c r="G1077" s="154" t="str">
        <f t="shared" si="193"/>
        <v>/</v>
      </c>
      <c r="H1077" s="141" t="str">
        <f t="shared" si="194"/>
        <v>/</v>
      </c>
      <c r="I1077" s="139" t="e">
        <f t="shared" si="195"/>
        <v>#NUM!</v>
      </c>
      <c r="J1077" s="139" t="e">
        <f t="shared" si="196"/>
        <v>#NUM!</v>
      </c>
      <c r="K1077" s="155">
        <f t="shared" si="192"/>
        <v>-1</v>
      </c>
      <c r="N1077" s="139">
        <f t="shared" si="197"/>
        <v>0</v>
      </c>
      <c r="O1077" s="139">
        <f t="shared" si="198"/>
        <v>1</v>
      </c>
      <c r="Q1077" s="186"/>
      <c r="R1077" s="186" t="s">
        <v>873</v>
      </c>
      <c r="S1077" s="139"/>
      <c r="V1077" s="139"/>
    </row>
    <row r="1078" spans="4:22">
      <c r="D1078" s="139"/>
      <c r="E1078" s="141" t="s">
        <v>1829</v>
      </c>
      <c r="F1078" s="141" t="s">
        <v>1756</v>
      </c>
      <c r="G1078" s="154" t="str">
        <f t="shared" si="193"/>
        <v>/</v>
      </c>
      <c r="H1078" s="141" t="str">
        <f t="shared" si="194"/>
        <v>/</v>
      </c>
      <c r="I1078" s="139" t="e">
        <f t="shared" si="195"/>
        <v>#NUM!</v>
      </c>
      <c r="J1078" s="139" t="e">
        <f t="shared" si="196"/>
        <v>#NUM!</v>
      </c>
      <c r="K1078" s="155">
        <f t="shared" si="192"/>
        <v>-1</v>
      </c>
      <c r="N1078" s="139">
        <f t="shared" si="197"/>
        <v>0</v>
      </c>
      <c r="O1078" s="139">
        <f t="shared" si="198"/>
        <v>1</v>
      </c>
      <c r="Q1078" s="186"/>
      <c r="R1078" s="186" t="s">
        <v>873</v>
      </c>
      <c r="S1078" s="139"/>
      <c r="V1078" s="139"/>
    </row>
    <row r="1079" spans="4:22">
      <c r="D1079" s="139"/>
      <c r="E1079" s="141" t="s">
        <v>1829</v>
      </c>
      <c r="F1079" s="141" t="s">
        <v>1756</v>
      </c>
      <c r="G1079" s="154" t="str">
        <f t="shared" si="193"/>
        <v>/</v>
      </c>
      <c r="H1079" s="141" t="str">
        <f t="shared" si="194"/>
        <v>/</v>
      </c>
      <c r="I1079" s="139" t="e">
        <f t="shared" si="195"/>
        <v>#NUM!</v>
      </c>
      <c r="J1079" s="139" t="e">
        <f t="shared" si="196"/>
        <v>#NUM!</v>
      </c>
      <c r="K1079" s="155">
        <f t="shared" si="192"/>
        <v>-1</v>
      </c>
      <c r="N1079" s="139">
        <f t="shared" si="197"/>
        <v>0</v>
      </c>
      <c r="O1079" s="139">
        <f t="shared" si="198"/>
        <v>1</v>
      </c>
      <c r="Q1079" s="186"/>
      <c r="R1079" s="186" t="s">
        <v>873</v>
      </c>
      <c r="S1079" s="139"/>
      <c r="V1079" s="139"/>
    </row>
    <row r="1080" spans="4:22">
      <c r="D1080" s="139"/>
      <c r="E1080" s="141" t="s">
        <v>1829</v>
      </c>
      <c r="F1080" s="141" t="s">
        <v>1756</v>
      </c>
      <c r="G1080" s="154" t="str">
        <f t="shared" si="193"/>
        <v>/</v>
      </c>
      <c r="H1080" s="141" t="str">
        <f t="shared" si="194"/>
        <v>/</v>
      </c>
      <c r="I1080" s="139" t="e">
        <f t="shared" si="195"/>
        <v>#NUM!</v>
      </c>
      <c r="J1080" s="139" t="e">
        <f t="shared" si="196"/>
        <v>#NUM!</v>
      </c>
      <c r="K1080" s="155">
        <f t="shared" si="192"/>
        <v>-1</v>
      </c>
      <c r="N1080" s="139">
        <f t="shared" si="197"/>
        <v>0</v>
      </c>
      <c r="O1080" s="139">
        <f t="shared" si="198"/>
        <v>1</v>
      </c>
      <c r="Q1080" s="186"/>
      <c r="R1080" s="186" t="s">
        <v>873</v>
      </c>
      <c r="S1080" s="139"/>
      <c r="V1080" s="139"/>
    </row>
    <row r="1081" spans="4:22">
      <c r="D1081" s="139"/>
      <c r="E1081" s="141" t="s">
        <v>1829</v>
      </c>
      <c r="F1081" s="141" t="s">
        <v>1756</v>
      </c>
      <c r="G1081" s="154" t="str">
        <f t="shared" si="193"/>
        <v>/</v>
      </c>
      <c r="H1081" s="141" t="str">
        <f t="shared" si="194"/>
        <v>/</v>
      </c>
      <c r="I1081" s="139" t="e">
        <f t="shared" si="195"/>
        <v>#NUM!</v>
      </c>
      <c r="J1081" s="139" t="e">
        <f t="shared" si="196"/>
        <v>#NUM!</v>
      </c>
      <c r="K1081" s="155">
        <f t="shared" si="192"/>
        <v>-1</v>
      </c>
      <c r="N1081" s="139">
        <f t="shared" si="197"/>
        <v>0</v>
      </c>
      <c r="O1081" s="139">
        <f t="shared" si="198"/>
        <v>1</v>
      </c>
      <c r="Q1081" s="186"/>
      <c r="R1081" s="186" t="s">
        <v>873</v>
      </c>
      <c r="S1081" s="139"/>
      <c r="V1081" s="139"/>
    </row>
    <row r="1082" spans="4:22">
      <c r="D1082" s="139"/>
      <c r="E1082" s="141" t="s">
        <v>1829</v>
      </c>
      <c r="F1082" s="141" t="s">
        <v>1756</v>
      </c>
      <c r="G1082" s="154" t="str">
        <f t="shared" si="193"/>
        <v>/</v>
      </c>
      <c r="H1082" s="141" t="str">
        <f t="shared" si="194"/>
        <v>/</v>
      </c>
      <c r="I1082" s="139" t="e">
        <f t="shared" si="195"/>
        <v>#NUM!</v>
      </c>
      <c r="J1082" s="139" t="e">
        <f t="shared" si="196"/>
        <v>#NUM!</v>
      </c>
      <c r="K1082" s="155">
        <f t="shared" ref="K1082:K1145" si="199">P1082-1</f>
        <v>-1</v>
      </c>
      <c r="N1082" s="139">
        <f t="shared" si="197"/>
        <v>0</v>
      </c>
      <c r="O1082" s="139">
        <f t="shared" si="198"/>
        <v>1</v>
      </c>
      <c r="Q1082" s="186"/>
      <c r="R1082" s="186" t="s">
        <v>873</v>
      </c>
      <c r="S1082" s="139"/>
      <c r="V1082" s="139"/>
    </row>
    <row r="1083" spans="4:22">
      <c r="D1083" s="139"/>
      <c r="E1083" s="141" t="s">
        <v>1829</v>
      </c>
      <c r="F1083" s="141" t="s">
        <v>1756</v>
      </c>
      <c r="G1083" s="154" t="str">
        <f t="shared" si="193"/>
        <v>/</v>
      </c>
      <c r="H1083" s="141" t="str">
        <f t="shared" si="194"/>
        <v>/</v>
      </c>
      <c r="I1083" s="139" t="e">
        <f t="shared" si="195"/>
        <v>#NUM!</v>
      </c>
      <c r="J1083" s="139" t="e">
        <f t="shared" si="196"/>
        <v>#NUM!</v>
      </c>
      <c r="K1083" s="155">
        <f t="shared" si="199"/>
        <v>-1</v>
      </c>
      <c r="N1083" s="139">
        <f t="shared" si="197"/>
        <v>0</v>
      </c>
      <c r="O1083" s="139">
        <f t="shared" si="198"/>
        <v>1</v>
      </c>
      <c r="Q1083" s="186"/>
      <c r="R1083" s="186" t="s">
        <v>873</v>
      </c>
      <c r="S1083" s="139"/>
      <c r="V1083" s="139"/>
    </row>
    <row r="1084" spans="4:22">
      <c r="D1084" s="139"/>
      <c r="E1084" s="141" t="s">
        <v>1829</v>
      </c>
      <c r="F1084" s="141" t="s">
        <v>1756</v>
      </c>
      <c r="G1084" s="154" t="str">
        <f t="shared" si="193"/>
        <v>/</v>
      </c>
      <c r="H1084" s="141" t="str">
        <f t="shared" si="194"/>
        <v>/</v>
      </c>
      <c r="I1084" s="139" t="e">
        <f t="shared" si="195"/>
        <v>#NUM!</v>
      </c>
      <c r="J1084" s="139" t="e">
        <f t="shared" si="196"/>
        <v>#NUM!</v>
      </c>
      <c r="K1084" s="155">
        <f t="shared" si="199"/>
        <v>-1</v>
      </c>
      <c r="N1084" s="139">
        <f t="shared" si="197"/>
        <v>0</v>
      </c>
      <c r="O1084" s="139">
        <f t="shared" si="198"/>
        <v>1</v>
      </c>
      <c r="Q1084" s="186"/>
      <c r="R1084" s="186" t="s">
        <v>873</v>
      </c>
      <c r="S1084" s="139"/>
      <c r="V1084" s="139"/>
    </row>
    <row r="1085" spans="4:22">
      <c r="D1085" s="139"/>
      <c r="E1085" s="141" t="s">
        <v>1829</v>
      </c>
      <c r="F1085" s="141" t="s">
        <v>1756</v>
      </c>
      <c r="G1085" s="154" t="str">
        <f t="shared" si="193"/>
        <v>/</v>
      </c>
      <c r="H1085" s="141" t="str">
        <f t="shared" si="194"/>
        <v>/</v>
      </c>
      <c r="I1085" s="139" t="e">
        <f t="shared" si="195"/>
        <v>#NUM!</v>
      </c>
      <c r="J1085" s="139" t="e">
        <f t="shared" si="196"/>
        <v>#NUM!</v>
      </c>
      <c r="K1085" s="155">
        <f t="shared" si="199"/>
        <v>-1</v>
      </c>
      <c r="N1085" s="139">
        <f t="shared" si="197"/>
        <v>0</v>
      </c>
      <c r="O1085" s="139">
        <f t="shared" si="198"/>
        <v>1</v>
      </c>
      <c r="Q1085" s="186"/>
      <c r="R1085" s="186" t="s">
        <v>873</v>
      </c>
      <c r="S1085" s="139"/>
      <c r="V1085" s="139"/>
    </row>
    <row r="1086" spans="4:22">
      <c r="D1086" s="139"/>
      <c r="E1086" s="141" t="s">
        <v>1829</v>
      </c>
      <c r="F1086" s="141" t="s">
        <v>1756</v>
      </c>
      <c r="G1086" s="154" t="str">
        <f t="shared" si="193"/>
        <v>/</v>
      </c>
      <c r="H1086" s="141" t="str">
        <f t="shared" si="194"/>
        <v>/</v>
      </c>
      <c r="I1086" s="139" t="e">
        <f t="shared" si="195"/>
        <v>#NUM!</v>
      </c>
      <c r="J1086" s="139" t="e">
        <f t="shared" si="196"/>
        <v>#NUM!</v>
      </c>
      <c r="K1086" s="155">
        <f t="shared" si="199"/>
        <v>-1</v>
      </c>
      <c r="N1086" s="139">
        <f t="shared" si="197"/>
        <v>0</v>
      </c>
      <c r="O1086" s="139">
        <f t="shared" si="198"/>
        <v>1</v>
      </c>
      <c r="Q1086" s="186"/>
      <c r="R1086" s="186" t="s">
        <v>873</v>
      </c>
      <c r="S1086" s="139"/>
      <c r="V1086" s="139"/>
    </row>
    <row r="1087" spans="4:22">
      <c r="D1087" s="139"/>
      <c r="E1087" s="141" t="s">
        <v>1829</v>
      </c>
      <c r="F1087" s="141" t="s">
        <v>1756</v>
      </c>
      <c r="G1087" s="154" t="str">
        <f t="shared" si="193"/>
        <v>/</v>
      </c>
      <c r="H1087" s="141" t="str">
        <f t="shared" si="194"/>
        <v>/</v>
      </c>
      <c r="I1087" s="139" t="e">
        <f t="shared" si="195"/>
        <v>#NUM!</v>
      </c>
      <c r="J1087" s="139" t="e">
        <f t="shared" si="196"/>
        <v>#NUM!</v>
      </c>
      <c r="K1087" s="155">
        <f t="shared" si="199"/>
        <v>-1</v>
      </c>
      <c r="N1087" s="139">
        <f t="shared" si="197"/>
        <v>0</v>
      </c>
      <c r="O1087" s="139">
        <f t="shared" si="198"/>
        <v>1</v>
      </c>
      <c r="Q1087" s="186"/>
      <c r="R1087" s="186" t="s">
        <v>873</v>
      </c>
      <c r="S1087" s="139"/>
      <c r="V1087" s="139"/>
    </row>
    <row r="1088" spans="4:22">
      <c r="D1088" s="139"/>
      <c r="E1088" s="141" t="s">
        <v>1829</v>
      </c>
      <c r="F1088" s="141" t="s">
        <v>1756</v>
      </c>
      <c r="G1088" s="154" t="str">
        <f t="shared" si="193"/>
        <v>/</v>
      </c>
      <c r="H1088" s="141" t="str">
        <f t="shared" si="194"/>
        <v>/</v>
      </c>
      <c r="I1088" s="139" t="e">
        <f t="shared" si="195"/>
        <v>#NUM!</v>
      </c>
      <c r="J1088" s="139" t="e">
        <f t="shared" si="196"/>
        <v>#NUM!</v>
      </c>
      <c r="K1088" s="155">
        <f t="shared" si="199"/>
        <v>-1</v>
      </c>
      <c r="N1088" s="139">
        <f t="shared" si="197"/>
        <v>0</v>
      </c>
      <c r="O1088" s="139">
        <f t="shared" si="198"/>
        <v>1</v>
      </c>
      <c r="Q1088" s="186"/>
      <c r="R1088" s="186" t="s">
        <v>873</v>
      </c>
      <c r="S1088" s="139"/>
      <c r="V1088" s="139"/>
    </row>
    <row r="1089" spans="4:22">
      <c r="D1089" s="139"/>
      <c r="E1089" s="141" t="s">
        <v>1829</v>
      </c>
      <c r="F1089" s="141" t="s">
        <v>1756</v>
      </c>
      <c r="G1089" s="154" t="str">
        <f t="shared" ref="G1089:G1152" si="200">A1089&amp;"/"&amp;B1089</f>
        <v>/</v>
      </c>
      <c r="H1089" s="141" t="str">
        <f t="shared" ref="H1089:H1152" si="201">A1089&amp;"/"&amp;B1089</f>
        <v>/</v>
      </c>
      <c r="I1089" s="139" t="e">
        <f t="shared" si="195"/>
        <v>#NUM!</v>
      </c>
      <c r="J1089" s="139" t="e">
        <f t="shared" si="196"/>
        <v>#NUM!</v>
      </c>
      <c r="K1089" s="155">
        <f t="shared" si="199"/>
        <v>-1</v>
      </c>
      <c r="N1089" s="139">
        <f t="shared" si="197"/>
        <v>0</v>
      </c>
      <c r="O1089" s="139">
        <f t="shared" si="198"/>
        <v>1</v>
      </c>
      <c r="Q1089" s="186"/>
      <c r="R1089" s="186" t="s">
        <v>873</v>
      </c>
      <c r="S1089" s="139"/>
      <c r="V1089" s="139"/>
    </row>
    <row r="1090" spans="4:22">
      <c r="D1090" s="139"/>
      <c r="E1090" s="141" t="s">
        <v>1829</v>
      </c>
      <c r="F1090" s="141" t="s">
        <v>1756</v>
      </c>
      <c r="G1090" s="154" t="str">
        <f t="shared" si="200"/>
        <v>/</v>
      </c>
      <c r="H1090" s="141" t="str">
        <f t="shared" si="201"/>
        <v>/</v>
      </c>
      <c r="I1090" s="139" t="e">
        <f t="shared" si="195"/>
        <v>#NUM!</v>
      </c>
      <c r="J1090" s="139" t="e">
        <f t="shared" si="196"/>
        <v>#NUM!</v>
      </c>
      <c r="K1090" s="155">
        <f t="shared" si="199"/>
        <v>-1</v>
      </c>
      <c r="N1090" s="139">
        <f t="shared" si="197"/>
        <v>0</v>
      </c>
      <c r="O1090" s="139">
        <f t="shared" si="198"/>
        <v>1</v>
      </c>
      <c r="Q1090" s="186"/>
      <c r="R1090" s="186" t="s">
        <v>873</v>
      </c>
      <c r="S1090" s="139"/>
      <c r="V1090" s="139"/>
    </row>
    <row r="1091" spans="4:22">
      <c r="D1091" s="139"/>
      <c r="E1091" s="141" t="s">
        <v>1829</v>
      </c>
      <c r="F1091" s="141" t="s">
        <v>1756</v>
      </c>
      <c r="G1091" s="154" t="str">
        <f t="shared" si="200"/>
        <v>/</v>
      </c>
      <c r="H1091" s="141" t="str">
        <f t="shared" si="201"/>
        <v>/</v>
      </c>
      <c r="I1091" s="139" t="e">
        <f t="shared" si="195"/>
        <v>#NUM!</v>
      </c>
      <c r="J1091" s="139" t="e">
        <f t="shared" si="196"/>
        <v>#NUM!</v>
      </c>
      <c r="K1091" s="155">
        <f t="shared" si="199"/>
        <v>-1</v>
      </c>
      <c r="N1091" s="139">
        <f t="shared" si="197"/>
        <v>0</v>
      </c>
      <c r="O1091" s="139">
        <f t="shared" si="198"/>
        <v>1</v>
      </c>
      <c r="Q1091" s="186"/>
      <c r="R1091" s="186" t="s">
        <v>873</v>
      </c>
      <c r="S1091" s="139"/>
      <c r="V1091" s="139"/>
    </row>
    <row r="1092" spans="4:22">
      <c r="D1092" s="139"/>
      <c r="E1092" s="141" t="s">
        <v>1829</v>
      </c>
      <c r="F1092" s="141" t="s">
        <v>1756</v>
      </c>
      <c r="G1092" s="154" t="str">
        <f t="shared" si="200"/>
        <v>/</v>
      </c>
      <c r="H1092" s="141" t="str">
        <f t="shared" si="201"/>
        <v>/</v>
      </c>
      <c r="I1092" s="139" t="e">
        <f t="shared" si="195"/>
        <v>#NUM!</v>
      </c>
      <c r="J1092" s="139" t="e">
        <f t="shared" si="196"/>
        <v>#NUM!</v>
      </c>
      <c r="K1092" s="155">
        <f t="shared" si="199"/>
        <v>-1</v>
      </c>
      <c r="N1092" s="139">
        <f t="shared" si="197"/>
        <v>0</v>
      </c>
      <c r="O1092" s="139">
        <f t="shared" si="198"/>
        <v>1</v>
      </c>
      <c r="Q1092" s="186"/>
      <c r="R1092" s="186" t="s">
        <v>873</v>
      </c>
      <c r="S1092" s="139"/>
      <c r="V1092" s="139"/>
    </row>
    <row r="1093" spans="4:22">
      <c r="D1093" s="139"/>
      <c r="E1093" s="141" t="s">
        <v>1829</v>
      </c>
      <c r="F1093" s="141" t="s">
        <v>1756</v>
      </c>
      <c r="G1093" s="154" t="str">
        <f t="shared" si="200"/>
        <v>/</v>
      </c>
      <c r="H1093" s="141" t="str">
        <f t="shared" si="201"/>
        <v>/</v>
      </c>
      <c r="I1093" s="139" t="e">
        <f t="shared" si="195"/>
        <v>#NUM!</v>
      </c>
      <c r="J1093" s="139" t="e">
        <f t="shared" si="196"/>
        <v>#NUM!</v>
      </c>
      <c r="K1093" s="155">
        <f t="shared" si="199"/>
        <v>-1</v>
      </c>
      <c r="N1093" s="139">
        <f t="shared" si="197"/>
        <v>0</v>
      </c>
      <c r="O1093" s="139">
        <f t="shared" si="198"/>
        <v>1</v>
      </c>
      <c r="Q1093" s="186"/>
      <c r="R1093" s="186" t="s">
        <v>873</v>
      </c>
      <c r="S1093" s="139"/>
      <c r="V1093" s="139"/>
    </row>
    <row r="1094" spans="4:22">
      <c r="D1094" s="139"/>
      <c r="E1094" s="141" t="s">
        <v>1829</v>
      </c>
      <c r="F1094" s="141" t="s">
        <v>1756</v>
      </c>
      <c r="G1094" s="154" t="str">
        <f t="shared" si="200"/>
        <v>/</v>
      </c>
      <c r="H1094" s="141" t="str">
        <f t="shared" si="201"/>
        <v>/</v>
      </c>
      <c r="I1094" s="139" t="e">
        <f t="shared" si="195"/>
        <v>#NUM!</v>
      </c>
      <c r="J1094" s="139" t="e">
        <f t="shared" si="196"/>
        <v>#NUM!</v>
      </c>
      <c r="K1094" s="155">
        <f t="shared" si="199"/>
        <v>-1</v>
      </c>
      <c r="N1094" s="139">
        <f t="shared" si="197"/>
        <v>0</v>
      </c>
      <c r="O1094" s="139">
        <f t="shared" si="198"/>
        <v>1</v>
      </c>
      <c r="Q1094" s="186"/>
      <c r="R1094" s="186" t="s">
        <v>873</v>
      </c>
      <c r="S1094" s="139"/>
      <c r="V1094" s="139"/>
    </row>
    <row r="1095" spans="4:22">
      <c r="D1095" s="139"/>
      <c r="E1095" s="141" t="s">
        <v>1829</v>
      </c>
      <c r="F1095" s="141" t="s">
        <v>1756</v>
      </c>
      <c r="G1095" s="154" t="str">
        <f t="shared" si="200"/>
        <v>/</v>
      </c>
      <c r="H1095" s="141" t="str">
        <f t="shared" si="201"/>
        <v>/</v>
      </c>
      <c r="I1095" s="139" t="e">
        <f t="shared" si="195"/>
        <v>#NUM!</v>
      </c>
      <c r="J1095" s="139" t="e">
        <f t="shared" si="196"/>
        <v>#NUM!</v>
      </c>
      <c r="K1095" s="155">
        <f t="shared" si="199"/>
        <v>-1</v>
      </c>
      <c r="N1095" s="139">
        <f t="shared" si="197"/>
        <v>0</v>
      </c>
      <c r="O1095" s="139">
        <f t="shared" si="198"/>
        <v>1</v>
      </c>
      <c r="Q1095" s="186"/>
      <c r="R1095" s="186" t="s">
        <v>873</v>
      </c>
      <c r="S1095" s="139"/>
      <c r="V1095" s="139"/>
    </row>
    <row r="1096" spans="4:22">
      <c r="D1096" s="139"/>
      <c r="E1096" s="141" t="s">
        <v>1829</v>
      </c>
      <c r="F1096" s="141" t="s">
        <v>1756</v>
      </c>
      <c r="G1096" s="154" t="str">
        <f t="shared" si="200"/>
        <v>/</v>
      </c>
      <c r="H1096" s="141" t="str">
        <f t="shared" si="201"/>
        <v>/</v>
      </c>
      <c r="I1096" s="139" t="e">
        <f t="shared" si="195"/>
        <v>#NUM!</v>
      </c>
      <c r="J1096" s="139" t="e">
        <f t="shared" si="196"/>
        <v>#NUM!</v>
      </c>
      <c r="K1096" s="155">
        <f t="shared" si="199"/>
        <v>-1</v>
      </c>
      <c r="N1096" s="139">
        <f t="shared" si="197"/>
        <v>0</v>
      </c>
      <c r="O1096" s="139">
        <f t="shared" si="198"/>
        <v>1</v>
      </c>
      <c r="Q1096" s="186"/>
      <c r="R1096" s="186" t="s">
        <v>873</v>
      </c>
      <c r="S1096" s="139"/>
      <c r="V1096" s="139"/>
    </row>
    <row r="1097" spans="4:22">
      <c r="D1097" s="139"/>
      <c r="E1097" s="141" t="s">
        <v>1829</v>
      </c>
      <c r="F1097" s="141" t="s">
        <v>1756</v>
      </c>
      <c r="G1097" s="154" t="str">
        <f t="shared" si="200"/>
        <v>/</v>
      </c>
      <c r="H1097" s="141" t="str">
        <f t="shared" si="201"/>
        <v>/</v>
      </c>
      <c r="I1097" s="139" t="e">
        <f t="shared" si="195"/>
        <v>#NUM!</v>
      </c>
      <c r="J1097" s="139" t="e">
        <f t="shared" si="196"/>
        <v>#NUM!</v>
      </c>
      <c r="K1097" s="155">
        <f t="shared" si="199"/>
        <v>-1</v>
      </c>
      <c r="N1097" s="139">
        <f t="shared" si="197"/>
        <v>0</v>
      </c>
      <c r="O1097" s="139">
        <f t="shared" si="198"/>
        <v>1</v>
      </c>
      <c r="Q1097" s="186"/>
      <c r="R1097" s="186" t="s">
        <v>873</v>
      </c>
      <c r="S1097" s="139"/>
      <c r="V1097" s="139"/>
    </row>
    <row r="1098" spans="4:22">
      <c r="D1098" s="139"/>
      <c r="E1098" s="141" t="s">
        <v>1829</v>
      </c>
      <c r="F1098" s="141" t="s">
        <v>1756</v>
      </c>
      <c r="G1098" s="154" t="str">
        <f t="shared" si="200"/>
        <v>/</v>
      </c>
      <c r="H1098" s="141" t="str">
        <f t="shared" si="201"/>
        <v>/</v>
      </c>
      <c r="I1098" s="139" t="e">
        <f t="shared" si="195"/>
        <v>#NUM!</v>
      </c>
      <c r="J1098" s="139" t="e">
        <f t="shared" si="196"/>
        <v>#NUM!</v>
      </c>
      <c r="K1098" s="155">
        <f t="shared" si="199"/>
        <v>-1</v>
      </c>
      <c r="N1098" s="139">
        <f t="shared" si="197"/>
        <v>0</v>
      </c>
      <c r="O1098" s="139">
        <f t="shared" si="198"/>
        <v>1</v>
      </c>
      <c r="Q1098" s="186"/>
      <c r="R1098" s="186" t="s">
        <v>873</v>
      </c>
      <c r="S1098" s="139"/>
      <c r="V1098" s="139"/>
    </row>
    <row r="1099" spans="4:22">
      <c r="D1099" s="139"/>
      <c r="E1099" s="141" t="s">
        <v>1829</v>
      </c>
      <c r="F1099" s="141" t="s">
        <v>1756</v>
      </c>
      <c r="G1099" s="154" t="str">
        <f t="shared" si="200"/>
        <v>/</v>
      </c>
      <c r="H1099" s="141" t="str">
        <f t="shared" si="201"/>
        <v>/</v>
      </c>
      <c r="I1099" s="139" t="e">
        <f t="shared" si="195"/>
        <v>#NUM!</v>
      </c>
      <c r="J1099" s="139" t="e">
        <f t="shared" si="196"/>
        <v>#NUM!</v>
      </c>
      <c r="K1099" s="155">
        <f t="shared" si="199"/>
        <v>-1</v>
      </c>
      <c r="N1099" s="139">
        <f t="shared" si="197"/>
        <v>0</v>
      </c>
      <c r="O1099" s="139">
        <f t="shared" si="198"/>
        <v>1</v>
      </c>
      <c r="Q1099" s="186"/>
      <c r="R1099" s="186" t="s">
        <v>873</v>
      </c>
      <c r="S1099" s="139"/>
      <c r="V1099" s="139"/>
    </row>
    <row r="1100" spans="4:22">
      <c r="D1100" s="139"/>
      <c r="E1100" s="141" t="s">
        <v>1829</v>
      </c>
      <c r="F1100" s="141" t="s">
        <v>1756</v>
      </c>
      <c r="G1100" s="154" t="str">
        <f t="shared" si="200"/>
        <v>/</v>
      </c>
      <c r="H1100" s="141" t="str">
        <f t="shared" si="201"/>
        <v>/</v>
      </c>
      <c r="I1100" s="139" t="e">
        <f t="shared" si="195"/>
        <v>#NUM!</v>
      </c>
      <c r="J1100" s="139" t="e">
        <f t="shared" si="196"/>
        <v>#NUM!</v>
      </c>
      <c r="K1100" s="155">
        <f t="shared" si="199"/>
        <v>-1</v>
      </c>
      <c r="N1100" s="139">
        <f t="shared" si="197"/>
        <v>0</v>
      </c>
      <c r="O1100" s="139">
        <f t="shared" si="198"/>
        <v>1</v>
      </c>
      <c r="Q1100" s="186"/>
      <c r="R1100" s="186" t="s">
        <v>873</v>
      </c>
      <c r="S1100" s="139"/>
      <c r="V1100" s="139"/>
    </row>
    <row r="1101" spans="4:22">
      <c r="D1101" s="139"/>
      <c r="E1101" s="141" t="s">
        <v>1829</v>
      </c>
      <c r="F1101" s="141" t="s">
        <v>1756</v>
      </c>
      <c r="G1101" s="154" t="str">
        <f t="shared" si="200"/>
        <v>/</v>
      </c>
      <c r="H1101" s="141" t="str">
        <f t="shared" si="201"/>
        <v>/</v>
      </c>
      <c r="I1101" s="139" t="e">
        <f t="shared" si="195"/>
        <v>#NUM!</v>
      </c>
      <c r="J1101" s="139" t="e">
        <f t="shared" si="196"/>
        <v>#NUM!</v>
      </c>
      <c r="K1101" s="155">
        <f t="shared" si="199"/>
        <v>-1</v>
      </c>
      <c r="N1101" s="139">
        <f t="shared" si="197"/>
        <v>0</v>
      </c>
      <c r="O1101" s="139">
        <f t="shared" si="198"/>
        <v>1</v>
      </c>
      <c r="Q1101" s="186"/>
      <c r="R1101" s="186" t="s">
        <v>873</v>
      </c>
      <c r="S1101" s="139"/>
      <c r="V1101" s="139"/>
    </row>
    <row r="1102" spans="4:22">
      <c r="D1102" s="139"/>
      <c r="E1102" s="141" t="s">
        <v>1829</v>
      </c>
      <c r="F1102" s="141" t="s">
        <v>1756</v>
      </c>
      <c r="G1102" s="154" t="str">
        <f t="shared" si="200"/>
        <v>/</v>
      </c>
      <c r="H1102" s="141" t="str">
        <f t="shared" si="201"/>
        <v>/</v>
      </c>
      <c r="I1102" s="139" t="e">
        <f t="shared" si="195"/>
        <v>#NUM!</v>
      </c>
      <c r="J1102" s="139" t="e">
        <f t="shared" si="196"/>
        <v>#NUM!</v>
      </c>
      <c r="K1102" s="155">
        <f t="shared" si="199"/>
        <v>-1</v>
      </c>
      <c r="N1102" s="139">
        <f t="shared" si="197"/>
        <v>0</v>
      </c>
      <c r="O1102" s="139">
        <f t="shared" si="198"/>
        <v>1</v>
      </c>
      <c r="Q1102" s="186"/>
      <c r="R1102" s="186" t="s">
        <v>873</v>
      </c>
      <c r="S1102" s="139"/>
      <c r="V1102" s="139"/>
    </row>
    <row r="1103" spans="4:22">
      <c r="D1103" s="139"/>
      <c r="E1103" s="141" t="s">
        <v>1829</v>
      </c>
      <c r="F1103" s="141" t="s">
        <v>1756</v>
      </c>
      <c r="G1103" s="154" t="str">
        <f t="shared" si="200"/>
        <v>/</v>
      </c>
      <c r="H1103" s="141" t="str">
        <f t="shared" si="201"/>
        <v>/</v>
      </c>
      <c r="I1103" s="139" t="e">
        <f t="shared" si="195"/>
        <v>#NUM!</v>
      </c>
      <c r="J1103" s="139" t="e">
        <f t="shared" si="196"/>
        <v>#NUM!</v>
      </c>
      <c r="K1103" s="155">
        <f t="shared" si="199"/>
        <v>-1</v>
      </c>
      <c r="N1103" s="139">
        <f t="shared" si="197"/>
        <v>0</v>
      </c>
      <c r="O1103" s="139">
        <f t="shared" si="198"/>
        <v>1</v>
      </c>
      <c r="Q1103" s="186"/>
      <c r="R1103" s="186" t="s">
        <v>873</v>
      </c>
      <c r="S1103" s="139"/>
      <c r="V1103" s="139"/>
    </row>
    <row r="1104" spans="4:22">
      <c r="D1104" s="139"/>
      <c r="E1104" s="141" t="s">
        <v>1829</v>
      </c>
      <c r="F1104" s="141" t="s">
        <v>1756</v>
      </c>
      <c r="G1104" s="154" t="str">
        <f t="shared" si="200"/>
        <v>/</v>
      </c>
      <c r="H1104" s="141" t="str">
        <f t="shared" si="201"/>
        <v>/</v>
      </c>
      <c r="I1104" s="139" t="e">
        <f t="shared" si="195"/>
        <v>#NUM!</v>
      </c>
      <c r="J1104" s="139" t="e">
        <f t="shared" si="196"/>
        <v>#NUM!</v>
      </c>
      <c r="K1104" s="155">
        <f t="shared" si="199"/>
        <v>-1</v>
      </c>
      <c r="N1104" s="139">
        <f t="shared" si="197"/>
        <v>0</v>
      </c>
      <c r="O1104" s="139">
        <f t="shared" si="198"/>
        <v>1</v>
      </c>
      <c r="Q1104" s="186"/>
      <c r="R1104" s="186" t="s">
        <v>873</v>
      </c>
      <c r="S1104" s="139"/>
      <c r="V1104" s="139"/>
    </row>
    <row r="1105" spans="4:22">
      <c r="D1105" s="139"/>
      <c r="E1105" s="141" t="s">
        <v>1829</v>
      </c>
      <c r="F1105" s="141" t="s">
        <v>1756</v>
      </c>
      <c r="G1105" s="154" t="str">
        <f t="shared" si="200"/>
        <v>/</v>
      </c>
      <c r="H1105" s="141" t="str">
        <f t="shared" si="201"/>
        <v>/</v>
      </c>
      <c r="I1105" s="139" t="e">
        <f t="shared" si="195"/>
        <v>#NUM!</v>
      </c>
      <c r="J1105" s="139" t="e">
        <f t="shared" si="196"/>
        <v>#NUM!</v>
      </c>
      <c r="K1105" s="155">
        <f t="shared" si="199"/>
        <v>-1</v>
      </c>
      <c r="N1105" s="139">
        <f t="shared" si="197"/>
        <v>0</v>
      </c>
      <c r="O1105" s="139">
        <f t="shared" si="198"/>
        <v>1</v>
      </c>
      <c r="Q1105" s="186"/>
      <c r="R1105" s="186" t="s">
        <v>873</v>
      </c>
      <c r="S1105" s="139"/>
      <c r="V1105" s="139"/>
    </row>
    <row r="1106" spans="4:22">
      <c r="D1106" s="139"/>
      <c r="E1106" s="141" t="s">
        <v>1829</v>
      </c>
      <c r="F1106" s="141" t="s">
        <v>1756</v>
      </c>
      <c r="G1106" s="154" t="str">
        <f t="shared" si="200"/>
        <v>/</v>
      </c>
      <c r="H1106" s="141" t="str">
        <f t="shared" si="201"/>
        <v>/</v>
      </c>
      <c r="I1106" s="139" t="e">
        <f t="shared" si="195"/>
        <v>#NUM!</v>
      </c>
      <c r="J1106" s="139" t="e">
        <f t="shared" si="196"/>
        <v>#NUM!</v>
      </c>
      <c r="K1106" s="155">
        <f t="shared" si="199"/>
        <v>-1</v>
      </c>
      <c r="N1106" s="139">
        <f t="shared" si="197"/>
        <v>0</v>
      </c>
      <c r="O1106" s="139">
        <f t="shared" si="198"/>
        <v>1</v>
      </c>
      <c r="Q1106" s="186"/>
      <c r="R1106" s="186" t="s">
        <v>873</v>
      </c>
      <c r="S1106" s="139"/>
      <c r="V1106" s="139"/>
    </row>
    <row r="1107" spans="4:22">
      <c r="D1107" s="139"/>
      <c r="E1107" s="141" t="s">
        <v>1829</v>
      </c>
      <c r="F1107" s="141" t="s">
        <v>1756</v>
      </c>
      <c r="G1107" s="154" t="str">
        <f t="shared" si="200"/>
        <v>/</v>
      </c>
      <c r="H1107" s="141" t="str">
        <f t="shared" si="201"/>
        <v>/</v>
      </c>
      <c r="I1107" s="139" t="e">
        <f t="shared" si="195"/>
        <v>#NUM!</v>
      </c>
      <c r="J1107" s="139" t="e">
        <f t="shared" si="196"/>
        <v>#NUM!</v>
      </c>
      <c r="K1107" s="155">
        <f t="shared" si="199"/>
        <v>-1</v>
      </c>
      <c r="N1107" s="139">
        <f t="shared" si="197"/>
        <v>0</v>
      </c>
      <c r="O1107" s="139">
        <f t="shared" si="198"/>
        <v>1</v>
      </c>
      <c r="Q1107" s="186"/>
      <c r="R1107" s="186" t="s">
        <v>873</v>
      </c>
      <c r="S1107" s="139"/>
      <c r="V1107" s="139"/>
    </row>
    <row r="1108" spans="4:22">
      <c r="D1108" s="139"/>
      <c r="E1108" s="141" t="s">
        <v>1829</v>
      </c>
      <c r="F1108" s="141" t="s">
        <v>1756</v>
      </c>
      <c r="G1108" s="154" t="str">
        <f t="shared" si="200"/>
        <v>/</v>
      </c>
      <c r="H1108" s="141" t="str">
        <f t="shared" si="201"/>
        <v>/</v>
      </c>
      <c r="I1108" s="139" t="e">
        <f t="shared" si="195"/>
        <v>#NUM!</v>
      </c>
      <c r="J1108" s="139" t="e">
        <f t="shared" si="196"/>
        <v>#NUM!</v>
      </c>
      <c r="K1108" s="155">
        <f t="shared" si="199"/>
        <v>-1</v>
      </c>
      <c r="N1108" s="139">
        <f t="shared" si="197"/>
        <v>0</v>
      </c>
      <c r="O1108" s="139">
        <f t="shared" si="198"/>
        <v>1</v>
      </c>
      <c r="Q1108" s="186"/>
      <c r="R1108" s="186" t="s">
        <v>873</v>
      </c>
      <c r="S1108" s="139"/>
      <c r="V1108" s="139"/>
    </row>
    <row r="1109" spans="4:22">
      <c r="D1109" s="139"/>
      <c r="E1109" s="141" t="s">
        <v>1829</v>
      </c>
      <c r="F1109" s="141" t="s">
        <v>1756</v>
      </c>
      <c r="G1109" s="154" t="str">
        <f t="shared" si="200"/>
        <v>/</v>
      </c>
      <c r="H1109" s="141" t="str">
        <f t="shared" si="201"/>
        <v>/</v>
      </c>
      <c r="I1109" s="139" t="e">
        <f t="shared" si="195"/>
        <v>#NUM!</v>
      </c>
      <c r="J1109" s="139" t="e">
        <f t="shared" si="196"/>
        <v>#NUM!</v>
      </c>
      <c r="K1109" s="155">
        <f t="shared" si="199"/>
        <v>-1</v>
      </c>
      <c r="N1109" s="139">
        <f t="shared" si="197"/>
        <v>0</v>
      </c>
      <c r="O1109" s="139">
        <f t="shared" si="198"/>
        <v>1</v>
      </c>
      <c r="Q1109" s="186"/>
      <c r="R1109" s="186" t="s">
        <v>873</v>
      </c>
      <c r="S1109" s="139"/>
      <c r="V1109" s="139"/>
    </row>
    <row r="1110" spans="4:22">
      <c r="D1110" s="139"/>
      <c r="E1110" s="141" t="s">
        <v>1829</v>
      </c>
      <c r="F1110" s="141" t="s">
        <v>1756</v>
      </c>
      <c r="G1110" s="154" t="str">
        <f t="shared" si="200"/>
        <v>/</v>
      </c>
      <c r="H1110" s="141" t="str">
        <f t="shared" si="201"/>
        <v>/</v>
      </c>
      <c r="I1110" s="139" t="e">
        <f t="shared" si="195"/>
        <v>#NUM!</v>
      </c>
      <c r="J1110" s="139" t="e">
        <f t="shared" si="196"/>
        <v>#NUM!</v>
      </c>
      <c r="K1110" s="155">
        <f t="shared" si="199"/>
        <v>-1</v>
      </c>
      <c r="N1110" s="139">
        <f t="shared" si="197"/>
        <v>0</v>
      </c>
      <c r="O1110" s="139">
        <f t="shared" si="198"/>
        <v>1</v>
      </c>
      <c r="Q1110" s="186"/>
      <c r="R1110" s="186" t="s">
        <v>873</v>
      </c>
      <c r="S1110" s="139"/>
      <c r="V1110" s="139"/>
    </row>
    <row r="1111" spans="4:22">
      <c r="D1111" s="139"/>
      <c r="E1111" s="141" t="s">
        <v>1829</v>
      </c>
      <c r="F1111" s="141" t="s">
        <v>1756</v>
      </c>
      <c r="G1111" s="154" t="str">
        <f t="shared" si="200"/>
        <v>/</v>
      </c>
      <c r="H1111" s="141" t="str">
        <f t="shared" si="201"/>
        <v>/</v>
      </c>
      <c r="I1111" s="139" t="e">
        <f t="shared" si="195"/>
        <v>#NUM!</v>
      </c>
      <c r="J1111" s="139" t="e">
        <f t="shared" si="196"/>
        <v>#NUM!</v>
      </c>
      <c r="K1111" s="155">
        <f t="shared" si="199"/>
        <v>-1</v>
      </c>
      <c r="N1111" s="139">
        <f t="shared" si="197"/>
        <v>0</v>
      </c>
      <c r="O1111" s="139">
        <f t="shared" si="198"/>
        <v>1</v>
      </c>
      <c r="Q1111" s="186"/>
      <c r="R1111" s="186" t="s">
        <v>873</v>
      </c>
      <c r="S1111" s="139"/>
      <c r="V1111" s="139"/>
    </row>
    <row r="1112" spans="4:22">
      <c r="D1112" s="139"/>
      <c r="E1112" s="141" t="s">
        <v>1829</v>
      </c>
      <c r="F1112" s="141" t="s">
        <v>1756</v>
      </c>
      <c r="G1112" s="154" t="str">
        <f t="shared" si="200"/>
        <v>/</v>
      </c>
      <c r="H1112" s="141" t="str">
        <f t="shared" si="201"/>
        <v>/</v>
      </c>
      <c r="I1112" s="139" t="e">
        <f t="shared" si="195"/>
        <v>#NUM!</v>
      </c>
      <c r="J1112" s="139" t="e">
        <f t="shared" si="196"/>
        <v>#NUM!</v>
      </c>
      <c r="K1112" s="155">
        <f t="shared" si="199"/>
        <v>-1</v>
      </c>
      <c r="N1112" s="139">
        <f t="shared" si="197"/>
        <v>0</v>
      </c>
      <c r="O1112" s="139">
        <f t="shared" si="198"/>
        <v>1</v>
      </c>
      <c r="Q1112" s="186"/>
      <c r="R1112" s="186" t="s">
        <v>873</v>
      </c>
      <c r="S1112" s="139"/>
      <c r="V1112" s="139"/>
    </row>
    <row r="1113" spans="4:22">
      <c r="D1113" s="139"/>
      <c r="E1113" s="141" t="s">
        <v>1829</v>
      </c>
      <c r="F1113" s="141" t="s">
        <v>1756</v>
      </c>
      <c r="G1113" s="154" t="str">
        <f t="shared" si="200"/>
        <v>/</v>
      </c>
      <c r="H1113" s="141" t="str">
        <f t="shared" si="201"/>
        <v>/</v>
      </c>
      <c r="I1113" s="139" t="e">
        <f t="shared" si="195"/>
        <v>#NUM!</v>
      </c>
      <c r="J1113" s="139" t="e">
        <f t="shared" si="196"/>
        <v>#NUM!</v>
      </c>
      <c r="K1113" s="155">
        <f t="shared" si="199"/>
        <v>-1</v>
      </c>
      <c r="N1113" s="139">
        <f t="shared" si="197"/>
        <v>0</v>
      </c>
      <c r="O1113" s="139">
        <f t="shared" si="198"/>
        <v>1</v>
      </c>
      <c r="Q1113" s="186"/>
      <c r="R1113" s="186" t="s">
        <v>873</v>
      </c>
      <c r="S1113" s="139"/>
      <c r="V1113" s="139"/>
    </row>
    <row r="1114" spans="4:22">
      <c r="D1114" s="139"/>
      <c r="E1114" s="141" t="s">
        <v>1829</v>
      </c>
      <c r="F1114" s="141" t="s">
        <v>1756</v>
      </c>
      <c r="G1114" s="154" t="str">
        <f t="shared" si="200"/>
        <v>/</v>
      </c>
      <c r="H1114" s="141" t="str">
        <f t="shared" si="201"/>
        <v>/</v>
      </c>
      <c r="I1114" s="139" t="e">
        <f t="shared" si="195"/>
        <v>#NUM!</v>
      </c>
      <c r="J1114" s="139" t="e">
        <f t="shared" si="196"/>
        <v>#NUM!</v>
      </c>
      <c r="K1114" s="155">
        <f t="shared" si="199"/>
        <v>-1</v>
      </c>
      <c r="N1114" s="139">
        <f t="shared" si="197"/>
        <v>0</v>
      </c>
      <c r="O1114" s="139">
        <f t="shared" si="198"/>
        <v>1</v>
      </c>
      <c r="Q1114" s="186"/>
      <c r="R1114" s="186" t="s">
        <v>873</v>
      </c>
      <c r="S1114" s="139"/>
      <c r="V1114" s="139"/>
    </row>
    <row r="1115" spans="4:22">
      <c r="D1115" s="139"/>
      <c r="E1115" s="141" t="s">
        <v>1829</v>
      </c>
      <c r="F1115" s="141" t="s">
        <v>1756</v>
      </c>
      <c r="G1115" s="154" t="str">
        <f t="shared" si="200"/>
        <v>/</v>
      </c>
      <c r="H1115" s="141" t="str">
        <f t="shared" si="201"/>
        <v>/</v>
      </c>
      <c r="I1115" s="139" t="e">
        <f t="shared" si="195"/>
        <v>#NUM!</v>
      </c>
      <c r="J1115" s="139" t="e">
        <f t="shared" si="196"/>
        <v>#NUM!</v>
      </c>
      <c r="K1115" s="155">
        <f t="shared" si="199"/>
        <v>-1</v>
      </c>
      <c r="N1115" s="139">
        <f t="shared" si="197"/>
        <v>0</v>
      </c>
      <c r="O1115" s="139">
        <f t="shared" si="198"/>
        <v>1</v>
      </c>
      <c r="Q1115" s="186"/>
      <c r="R1115" s="186" t="s">
        <v>873</v>
      </c>
      <c r="S1115" s="139"/>
      <c r="V1115" s="139"/>
    </row>
    <row r="1116" spans="4:22">
      <c r="D1116" s="139"/>
      <c r="E1116" s="141" t="s">
        <v>1829</v>
      </c>
      <c r="F1116" s="141" t="s">
        <v>1756</v>
      </c>
      <c r="G1116" s="154" t="str">
        <f t="shared" si="200"/>
        <v>/</v>
      </c>
      <c r="H1116" s="141" t="str">
        <f t="shared" si="201"/>
        <v>/</v>
      </c>
      <c r="I1116" s="139" t="e">
        <f t="shared" si="195"/>
        <v>#NUM!</v>
      </c>
      <c r="J1116" s="139" t="e">
        <f t="shared" si="196"/>
        <v>#NUM!</v>
      </c>
      <c r="K1116" s="155">
        <f t="shared" si="199"/>
        <v>-1</v>
      </c>
      <c r="N1116" s="139">
        <f t="shared" si="197"/>
        <v>0</v>
      </c>
      <c r="O1116" s="139">
        <f t="shared" si="198"/>
        <v>1</v>
      </c>
      <c r="Q1116" s="186"/>
      <c r="R1116" s="186" t="s">
        <v>873</v>
      </c>
      <c r="S1116" s="139"/>
      <c r="V1116" s="139"/>
    </row>
    <row r="1117" spans="4:22">
      <c r="D1117" s="139"/>
      <c r="E1117" s="141" t="s">
        <v>1829</v>
      </c>
      <c r="F1117" s="141" t="s">
        <v>1756</v>
      </c>
      <c r="G1117" s="154" t="str">
        <f t="shared" si="200"/>
        <v>/</v>
      </c>
      <c r="H1117" s="141" t="str">
        <f t="shared" si="201"/>
        <v>/</v>
      </c>
      <c r="I1117" s="139" t="e">
        <f t="shared" si="195"/>
        <v>#NUM!</v>
      </c>
      <c r="J1117" s="139" t="e">
        <f t="shared" si="196"/>
        <v>#NUM!</v>
      </c>
      <c r="K1117" s="155">
        <f t="shared" si="199"/>
        <v>-1</v>
      </c>
      <c r="N1117" s="139">
        <f t="shared" si="197"/>
        <v>0</v>
      </c>
      <c r="O1117" s="139">
        <f t="shared" si="198"/>
        <v>1</v>
      </c>
      <c r="Q1117" s="186"/>
      <c r="R1117" s="186" t="s">
        <v>873</v>
      </c>
      <c r="S1117" s="139"/>
      <c r="V1117" s="139"/>
    </row>
    <row r="1118" spans="4:22">
      <c r="D1118" s="139"/>
      <c r="E1118" s="141" t="s">
        <v>1829</v>
      </c>
      <c r="F1118" s="141" t="s">
        <v>1756</v>
      </c>
      <c r="G1118" s="154" t="str">
        <f t="shared" si="200"/>
        <v>/</v>
      </c>
      <c r="H1118" s="141" t="str">
        <f t="shared" si="201"/>
        <v>/</v>
      </c>
      <c r="I1118" s="139" t="e">
        <f t="shared" si="195"/>
        <v>#NUM!</v>
      </c>
      <c r="J1118" s="139" t="e">
        <f t="shared" si="196"/>
        <v>#NUM!</v>
      </c>
      <c r="K1118" s="155">
        <f t="shared" si="199"/>
        <v>-1</v>
      </c>
      <c r="N1118" s="139">
        <f t="shared" si="197"/>
        <v>0</v>
      </c>
      <c r="O1118" s="139">
        <f t="shared" si="198"/>
        <v>1</v>
      </c>
      <c r="Q1118" s="186"/>
      <c r="R1118" s="186" t="s">
        <v>873</v>
      </c>
      <c r="S1118" s="139"/>
      <c r="V1118" s="139"/>
    </row>
    <row r="1119" spans="4:22">
      <c r="D1119" s="139"/>
      <c r="E1119" s="141" t="s">
        <v>1829</v>
      </c>
      <c r="F1119" s="141" t="s">
        <v>1756</v>
      </c>
      <c r="G1119" s="154" t="str">
        <f t="shared" si="200"/>
        <v>/</v>
      </c>
      <c r="H1119" s="141" t="str">
        <f t="shared" si="201"/>
        <v>/</v>
      </c>
      <c r="I1119" s="139" t="e">
        <f t="shared" si="195"/>
        <v>#NUM!</v>
      </c>
      <c r="J1119" s="139" t="e">
        <f t="shared" si="196"/>
        <v>#NUM!</v>
      </c>
      <c r="K1119" s="155">
        <f t="shared" si="199"/>
        <v>-1</v>
      </c>
      <c r="N1119" s="139">
        <f t="shared" si="197"/>
        <v>0</v>
      </c>
      <c r="O1119" s="139">
        <f t="shared" si="198"/>
        <v>1</v>
      </c>
      <c r="Q1119" s="186"/>
      <c r="R1119" s="186" t="s">
        <v>873</v>
      </c>
      <c r="S1119" s="139"/>
      <c r="V1119" s="139"/>
    </row>
    <row r="1120" spans="4:22">
      <c r="D1120" s="139"/>
      <c r="E1120" s="141" t="s">
        <v>1829</v>
      </c>
      <c r="F1120" s="141" t="s">
        <v>1756</v>
      </c>
      <c r="G1120" s="154" t="str">
        <f t="shared" si="200"/>
        <v>/</v>
      </c>
      <c r="H1120" s="141" t="str">
        <f t="shared" si="201"/>
        <v>/</v>
      </c>
      <c r="I1120" s="139" t="e">
        <f t="shared" si="195"/>
        <v>#NUM!</v>
      </c>
      <c r="J1120" s="139" t="e">
        <f t="shared" si="196"/>
        <v>#NUM!</v>
      </c>
      <c r="K1120" s="155">
        <f t="shared" si="199"/>
        <v>-1</v>
      </c>
      <c r="N1120" s="139">
        <f t="shared" si="197"/>
        <v>0</v>
      </c>
      <c r="O1120" s="139">
        <f t="shared" si="198"/>
        <v>1</v>
      </c>
      <c r="Q1120" s="186"/>
      <c r="R1120" s="186" t="s">
        <v>873</v>
      </c>
      <c r="S1120" s="139"/>
      <c r="V1120" s="139"/>
    </row>
    <row r="1121" spans="4:22">
      <c r="D1121" s="139"/>
      <c r="E1121" s="141" t="s">
        <v>1829</v>
      </c>
      <c r="F1121" s="141" t="s">
        <v>1756</v>
      </c>
      <c r="G1121" s="154" t="str">
        <f t="shared" si="200"/>
        <v>/</v>
      </c>
      <c r="H1121" s="141" t="str">
        <f t="shared" si="201"/>
        <v>/</v>
      </c>
      <c r="I1121" s="139" t="e">
        <f t="shared" si="195"/>
        <v>#NUM!</v>
      </c>
      <c r="J1121" s="139" t="e">
        <f t="shared" si="196"/>
        <v>#NUM!</v>
      </c>
      <c r="K1121" s="155">
        <f t="shared" si="199"/>
        <v>-1</v>
      </c>
      <c r="N1121" s="139">
        <f t="shared" si="197"/>
        <v>0</v>
      </c>
      <c r="O1121" s="139">
        <f t="shared" si="198"/>
        <v>1</v>
      </c>
      <c r="Q1121" s="186"/>
      <c r="R1121" s="186" t="s">
        <v>873</v>
      </c>
      <c r="S1121" s="139"/>
      <c r="V1121" s="139"/>
    </row>
    <row r="1122" spans="4:22">
      <c r="D1122" s="139"/>
      <c r="E1122" s="141" t="s">
        <v>1829</v>
      </c>
      <c r="F1122" s="141" t="s">
        <v>1756</v>
      </c>
      <c r="G1122" s="154" t="str">
        <f t="shared" si="200"/>
        <v>/</v>
      </c>
      <c r="H1122" s="141" t="str">
        <f t="shared" si="201"/>
        <v>/</v>
      </c>
      <c r="I1122" s="139" t="e">
        <f t="shared" si="195"/>
        <v>#NUM!</v>
      </c>
      <c r="J1122" s="139" t="e">
        <f t="shared" si="196"/>
        <v>#NUM!</v>
      </c>
      <c r="K1122" s="155">
        <f t="shared" si="199"/>
        <v>-1</v>
      </c>
      <c r="N1122" s="139">
        <f t="shared" si="197"/>
        <v>0</v>
      </c>
      <c r="O1122" s="139">
        <f t="shared" si="198"/>
        <v>1</v>
      </c>
      <c r="Q1122" s="186"/>
      <c r="R1122" s="186" t="s">
        <v>873</v>
      </c>
      <c r="S1122" s="139"/>
      <c r="V1122" s="139"/>
    </row>
    <row r="1123" spans="4:22">
      <c r="D1123" s="139"/>
      <c r="E1123" s="141" t="s">
        <v>1829</v>
      </c>
      <c r="F1123" s="141" t="s">
        <v>1756</v>
      </c>
      <c r="G1123" s="154" t="str">
        <f t="shared" si="200"/>
        <v>/</v>
      </c>
      <c r="H1123" s="141" t="str">
        <f t="shared" si="201"/>
        <v>/</v>
      </c>
      <c r="I1123" s="139" t="e">
        <f t="shared" si="195"/>
        <v>#NUM!</v>
      </c>
      <c r="J1123" s="139" t="e">
        <f t="shared" si="196"/>
        <v>#NUM!</v>
      </c>
      <c r="K1123" s="155">
        <f t="shared" si="199"/>
        <v>-1</v>
      </c>
      <c r="N1123" s="139">
        <f t="shared" si="197"/>
        <v>0</v>
      </c>
      <c r="O1123" s="139">
        <f t="shared" si="198"/>
        <v>1</v>
      </c>
      <c r="Q1123" s="186"/>
      <c r="R1123" s="186" t="s">
        <v>873</v>
      </c>
      <c r="S1123" s="139"/>
      <c r="V1123" s="139"/>
    </row>
    <row r="1124" spans="4:22">
      <c r="D1124" s="139"/>
      <c r="E1124" s="141" t="s">
        <v>1829</v>
      </c>
      <c r="F1124" s="141" t="s">
        <v>1756</v>
      </c>
      <c r="G1124" s="154" t="str">
        <f t="shared" si="200"/>
        <v>/</v>
      </c>
      <c r="H1124" s="141" t="str">
        <f t="shared" si="201"/>
        <v>/</v>
      </c>
      <c r="I1124" s="139" t="e">
        <f t="shared" si="195"/>
        <v>#NUM!</v>
      </c>
      <c r="J1124" s="139" t="e">
        <f t="shared" si="196"/>
        <v>#NUM!</v>
      </c>
      <c r="K1124" s="155">
        <f t="shared" si="199"/>
        <v>-1</v>
      </c>
      <c r="N1124" s="139">
        <f t="shared" si="197"/>
        <v>0</v>
      </c>
      <c r="O1124" s="139">
        <f t="shared" si="198"/>
        <v>1</v>
      </c>
      <c r="Q1124" s="186"/>
      <c r="R1124" s="186" t="s">
        <v>873</v>
      </c>
      <c r="S1124" s="139"/>
      <c r="V1124" s="139"/>
    </row>
    <row r="1125" spans="4:22">
      <c r="D1125" s="139"/>
      <c r="E1125" s="141" t="s">
        <v>1829</v>
      </c>
      <c r="F1125" s="141" t="s">
        <v>1756</v>
      </c>
      <c r="G1125" s="154" t="str">
        <f t="shared" si="200"/>
        <v>/</v>
      </c>
      <c r="H1125" s="141" t="str">
        <f t="shared" si="201"/>
        <v>/</v>
      </c>
      <c r="I1125" s="139" t="e">
        <f t="shared" si="195"/>
        <v>#NUM!</v>
      </c>
      <c r="J1125" s="139" t="e">
        <f t="shared" si="196"/>
        <v>#NUM!</v>
      </c>
      <c r="K1125" s="155">
        <f t="shared" si="199"/>
        <v>-1</v>
      </c>
      <c r="N1125" s="139">
        <f t="shared" si="197"/>
        <v>0</v>
      </c>
      <c r="O1125" s="139">
        <f t="shared" si="198"/>
        <v>1</v>
      </c>
      <c r="Q1125" s="186"/>
      <c r="R1125" s="186" t="s">
        <v>873</v>
      </c>
      <c r="S1125" s="139"/>
      <c r="V1125" s="139"/>
    </row>
    <row r="1126" spans="4:22">
      <c r="D1126" s="139"/>
      <c r="E1126" s="141" t="s">
        <v>1829</v>
      </c>
      <c r="F1126" s="141" t="s">
        <v>1756</v>
      </c>
      <c r="G1126" s="154" t="str">
        <f t="shared" si="200"/>
        <v>/</v>
      </c>
      <c r="H1126" s="141" t="str">
        <f t="shared" si="201"/>
        <v>/</v>
      </c>
      <c r="I1126" s="139" t="e">
        <f t="shared" si="195"/>
        <v>#NUM!</v>
      </c>
      <c r="J1126" s="139" t="e">
        <f t="shared" si="196"/>
        <v>#NUM!</v>
      </c>
      <c r="K1126" s="155">
        <f t="shared" si="199"/>
        <v>-1</v>
      </c>
      <c r="N1126" s="139">
        <f t="shared" si="197"/>
        <v>0</v>
      </c>
      <c r="O1126" s="139">
        <f t="shared" si="198"/>
        <v>1</v>
      </c>
      <c r="Q1126" s="186"/>
      <c r="R1126" s="186" t="s">
        <v>873</v>
      </c>
      <c r="S1126" s="139"/>
      <c r="V1126" s="139"/>
    </row>
    <row r="1127" spans="4:22">
      <c r="D1127" s="139"/>
      <c r="E1127" s="141" t="s">
        <v>1829</v>
      </c>
      <c r="F1127" s="141" t="s">
        <v>1756</v>
      </c>
      <c r="G1127" s="154" t="str">
        <f t="shared" si="200"/>
        <v>/</v>
      </c>
      <c r="H1127" s="141" t="str">
        <f t="shared" si="201"/>
        <v>/</v>
      </c>
      <c r="I1127" s="139" t="e">
        <f t="shared" si="195"/>
        <v>#NUM!</v>
      </c>
      <c r="J1127" s="139" t="e">
        <f t="shared" si="196"/>
        <v>#NUM!</v>
      </c>
      <c r="K1127" s="155">
        <f t="shared" si="199"/>
        <v>-1</v>
      </c>
      <c r="N1127" s="139">
        <f t="shared" si="197"/>
        <v>0</v>
      </c>
      <c r="O1127" s="139">
        <f t="shared" si="198"/>
        <v>1</v>
      </c>
      <c r="Q1127" s="186"/>
      <c r="R1127" s="186" t="s">
        <v>873</v>
      </c>
      <c r="S1127" s="139"/>
      <c r="V1127" s="139"/>
    </row>
    <row r="1128" spans="4:22">
      <c r="D1128" s="139"/>
      <c r="E1128" s="141" t="s">
        <v>1829</v>
      </c>
      <c r="F1128" s="141" t="s">
        <v>1756</v>
      </c>
      <c r="G1128" s="154" t="str">
        <f t="shared" si="200"/>
        <v>/</v>
      </c>
      <c r="H1128" s="141" t="str">
        <f t="shared" si="201"/>
        <v>/</v>
      </c>
      <c r="I1128" s="139" t="e">
        <f t="shared" si="195"/>
        <v>#NUM!</v>
      </c>
      <c r="J1128" s="139" t="e">
        <f t="shared" si="196"/>
        <v>#NUM!</v>
      </c>
      <c r="K1128" s="155">
        <f t="shared" si="199"/>
        <v>-1</v>
      </c>
      <c r="N1128" s="139">
        <f t="shared" si="197"/>
        <v>0</v>
      </c>
      <c r="O1128" s="139">
        <f t="shared" si="198"/>
        <v>1</v>
      </c>
      <c r="Q1128" s="186"/>
      <c r="R1128" s="186" t="s">
        <v>873</v>
      </c>
      <c r="S1128" s="139"/>
      <c r="V1128" s="139"/>
    </row>
    <row r="1129" spans="4:22">
      <c r="D1129" s="139"/>
      <c r="E1129" s="141" t="s">
        <v>1829</v>
      </c>
      <c r="F1129" s="141" t="s">
        <v>1756</v>
      </c>
      <c r="G1129" s="154" t="str">
        <f t="shared" si="200"/>
        <v>/</v>
      </c>
      <c r="H1129" s="141" t="str">
        <f t="shared" si="201"/>
        <v>/</v>
      </c>
      <c r="I1129" s="139" t="e">
        <f t="shared" si="195"/>
        <v>#NUM!</v>
      </c>
      <c r="J1129" s="139" t="e">
        <f t="shared" si="196"/>
        <v>#NUM!</v>
      </c>
      <c r="K1129" s="155">
        <f t="shared" si="199"/>
        <v>-1</v>
      </c>
      <c r="N1129" s="139">
        <f t="shared" si="197"/>
        <v>0</v>
      </c>
      <c r="O1129" s="139">
        <f t="shared" si="198"/>
        <v>1</v>
      </c>
      <c r="Q1129" s="186"/>
      <c r="R1129" s="186" t="s">
        <v>873</v>
      </c>
      <c r="S1129" s="139"/>
      <c r="V1129" s="139"/>
    </row>
    <row r="1130" spans="4:22">
      <c r="D1130" s="139"/>
      <c r="E1130" s="141" t="s">
        <v>1829</v>
      </c>
      <c r="F1130" s="141" t="s">
        <v>1756</v>
      </c>
      <c r="G1130" s="154" t="str">
        <f t="shared" si="200"/>
        <v>/</v>
      </c>
      <c r="H1130" s="141" t="str">
        <f t="shared" si="201"/>
        <v>/</v>
      </c>
      <c r="I1130" s="139" t="e">
        <f t="shared" si="195"/>
        <v>#NUM!</v>
      </c>
      <c r="J1130" s="139" t="e">
        <f t="shared" si="196"/>
        <v>#NUM!</v>
      </c>
      <c r="K1130" s="155">
        <f t="shared" si="199"/>
        <v>-1</v>
      </c>
      <c r="N1130" s="139">
        <f t="shared" si="197"/>
        <v>0</v>
      </c>
      <c r="O1130" s="139">
        <f t="shared" si="198"/>
        <v>1</v>
      </c>
      <c r="Q1130" s="186"/>
      <c r="R1130" s="186" t="s">
        <v>873</v>
      </c>
      <c r="S1130" s="139"/>
      <c r="V1130" s="139"/>
    </row>
    <row r="1131" spans="4:22">
      <c r="D1131" s="139"/>
      <c r="E1131" s="141" t="s">
        <v>1829</v>
      </c>
      <c r="F1131" s="141" t="s">
        <v>1756</v>
      </c>
      <c r="G1131" s="154" t="str">
        <f t="shared" si="200"/>
        <v>/</v>
      </c>
      <c r="H1131" s="141" t="str">
        <f t="shared" si="201"/>
        <v>/</v>
      </c>
      <c r="I1131" s="139" t="e">
        <f t="shared" si="195"/>
        <v>#NUM!</v>
      </c>
      <c r="J1131" s="139" t="e">
        <f t="shared" si="196"/>
        <v>#NUM!</v>
      </c>
      <c r="K1131" s="155">
        <f t="shared" si="199"/>
        <v>-1</v>
      </c>
      <c r="N1131" s="139">
        <f t="shared" si="197"/>
        <v>0</v>
      </c>
      <c r="O1131" s="139">
        <f t="shared" si="198"/>
        <v>1</v>
      </c>
      <c r="Q1131" s="186"/>
      <c r="R1131" s="186" t="s">
        <v>873</v>
      </c>
      <c r="S1131" s="139"/>
      <c r="V1131" s="139"/>
    </row>
    <row r="1132" spans="4:22">
      <c r="D1132" s="139"/>
      <c r="E1132" s="141" t="s">
        <v>1829</v>
      </c>
      <c r="F1132" s="141" t="s">
        <v>1756</v>
      </c>
      <c r="G1132" s="154" t="str">
        <f t="shared" si="200"/>
        <v>/</v>
      </c>
      <c r="H1132" s="141" t="str">
        <f t="shared" si="201"/>
        <v>/</v>
      </c>
      <c r="I1132" s="139" t="e">
        <f t="shared" si="195"/>
        <v>#NUM!</v>
      </c>
      <c r="J1132" s="139" t="e">
        <f t="shared" si="196"/>
        <v>#NUM!</v>
      </c>
      <c r="K1132" s="155">
        <f t="shared" si="199"/>
        <v>-1</v>
      </c>
      <c r="N1132" s="139">
        <f t="shared" si="197"/>
        <v>0</v>
      </c>
      <c r="O1132" s="139">
        <f t="shared" si="198"/>
        <v>1</v>
      </c>
      <c r="Q1132" s="186"/>
      <c r="R1132" s="186" t="s">
        <v>873</v>
      </c>
      <c r="S1132" s="139"/>
      <c r="V1132" s="139"/>
    </row>
    <row r="1133" spans="4:22">
      <c r="D1133" s="139"/>
      <c r="E1133" s="141" t="s">
        <v>1829</v>
      </c>
      <c r="F1133" s="141" t="s">
        <v>1756</v>
      </c>
      <c r="G1133" s="154" t="str">
        <f t="shared" si="200"/>
        <v>/</v>
      </c>
      <c r="H1133" s="141" t="str">
        <f t="shared" si="201"/>
        <v>/</v>
      </c>
      <c r="I1133" s="139" t="e">
        <f t="shared" si="195"/>
        <v>#NUM!</v>
      </c>
      <c r="J1133" s="139" t="e">
        <f t="shared" si="196"/>
        <v>#NUM!</v>
      </c>
      <c r="K1133" s="155">
        <f t="shared" si="199"/>
        <v>-1</v>
      </c>
      <c r="N1133" s="139">
        <f t="shared" si="197"/>
        <v>0</v>
      </c>
      <c r="O1133" s="139">
        <f t="shared" si="198"/>
        <v>1</v>
      </c>
      <c r="Q1133" s="186"/>
      <c r="R1133" s="186" t="s">
        <v>873</v>
      </c>
      <c r="S1133" s="139"/>
      <c r="V1133" s="139"/>
    </row>
    <row r="1134" spans="4:22">
      <c r="D1134" s="139"/>
      <c r="E1134" s="141" t="s">
        <v>1829</v>
      </c>
      <c r="F1134" s="141" t="s">
        <v>1756</v>
      </c>
      <c r="G1134" s="154" t="str">
        <f t="shared" si="200"/>
        <v>/</v>
      </c>
      <c r="H1134" s="141" t="str">
        <f t="shared" si="201"/>
        <v>/</v>
      </c>
      <c r="I1134" s="139" t="e">
        <f t="shared" si="195"/>
        <v>#NUM!</v>
      </c>
      <c r="J1134" s="139" t="e">
        <f t="shared" si="196"/>
        <v>#NUM!</v>
      </c>
      <c r="K1134" s="155">
        <f t="shared" si="199"/>
        <v>-1</v>
      </c>
      <c r="N1134" s="139">
        <f t="shared" si="197"/>
        <v>0</v>
      </c>
      <c r="O1134" s="139">
        <f t="shared" si="198"/>
        <v>1</v>
      </c>
      <c r="Q1134" s="186"/>
      <c r="R1134" s="186" t="s">
        <v>873</v>
      </c>
      <c r="S1134" s="139"/>
      <c r="V1134" s="139"/>
    </row>
    <row r="1135" spans="4:22">
      <c r="D1135" s="139"/>
      <c r="E1135" s="141" t="s">
        <v>1829</v>
      </c>
      <c r="F1135" s="141" t="s">
        <v>1756</v>
      </c>
      <c r="G1135" s="154" t="str">
        <f t="shared" si="200"/>
        <v>/</v>
      </c>
      <c r="H1135" s="141" t="str">
        <f t="shared" si="201"/>
        <v>/</v>
      </c>
      <c r="I1135" s="139" t="e">
        <f t="shared" si="195"/>
        <v>#NUM!</v>
      </c>
      <c r="J1135" s="139" t="e">
        <f t="shared" si="196"/>
        <v>#NUM!</v>
      </c>
      <c r="K1135" s="155">
        <f t="shared" si="199"/>
        <v>-1</v>
      </c>
      <c r="N1135" s="139">
        <f t="shared" si="197"/>
        <v>0</v>
      </c>
      <c r="O1135" s="139">
        <f t="shared" si="198"/>
        <v>1</v>
      </c>
      <c r="Q1135" s="186"/>
      <c r="R1135" s="186" t="s">
        <v>873</v>
      </c>
      <c r="S1135" s="139"/>
      <c r="V1135" s="139"/>
    </row>
    <row r="1136" spans="4:22">
      <c r="D1136" s="139"/>
      <c r="E1136" s="141" t="s">
        <v>1829</v>
      </c>
      <c r="F1136" s="141" t="s">
        <v>1756</v>
      </c>
      <c r="G1136" s="154" t="str">
        <f t="shared" si="200"/>
        <v>/</v>
      </c>
      <c r="H1136" s="141" t="str">
        <f t="shared" si="201"/>
        <v>/</v>
      </c>
      <c r="I1136" s="139" t="e">
        <f t="shared" si="195"/>
        <v>#NUM!</v>
      </c>
      <c r="J1136" s="139" t="e">
        <f t="shared" si="196"/>
        <v>#NUM!</v>
      </c>
      <c r="K1136" s="155">
        <f t="shared" si="199"/>
        <v>-1</v>
      </c>
      <c r="N1136" s="139">
        <f t="shared" si="197"/>
        <v>0</v>
      </c>
      <c r="O1136" s="139">
        <f t="shared" si="198"/>
        <v>1</v>
      </c>
      <c r="Q1136" s="186"/>
      <c r="R1136" s="186" t="s">
        <v>873</v>
      </c>
      <c r="S1136" s="139"/>
      <c r="V1136" s="139"/>
    </row>
    <row r="1137" spans="4:22">
      <c r="D1137" s="139"/>
      <c r="E1137" s="141" t="s">
        <v>1829</v>
      </c>
      <c r="F1137" s="141" t="s">
        <v>1756</v>
      </c>
      <c r="G1137" s="154" t="str">
        <f t="shared" si="200"/>
        <v>/</v>
      </c>
      <c r="H1137" s="141" t="str">
        <f t="shared" si="201"/>
        <v>/</v>
      </c>
      <c r="I1137" s="139" t="e">
        <f t="shared" si="195"/>
        <v>#NUM!</v>
      </c>
      <c r="J1137" s="139" t="e">
        <f t="shared" si="196"/>
        <v>#NUM!</v>
      </c>
      <c r="K1137" s="155">
        <f t="shared" si="199"/>
        <v>-1</v>
      </c>
      <c r="N1137" s="139">
        <f t="shared" si="197"/>
        <v>0</v>
      </c>
      <c r="O1137" s="139">
        <f t="shared" si="198"/>
        <v>1</v>
      </c>
      <c r="Q1137" s="186"/>
      <c r="R1137" s="186" t="s">
        <v>873</v>
      </c>
      <c r="S1137" s="139"/>
      <c r="V1137" s="139"/>
    </row>
    <row r="1138" spans="4:22">
      <c r="D1138" s="139"/>
      <c r="E1138" s="141" t="s">
        <v>1829</v>
      </c>
      <c r="F1138" s="141" t="s">
        <v>1756</v>
      </c>
      <c r="G1138" s="154" t="str">
        <f t="shared" si="200"/>
        <v>/</v>
      </c>
      <c r="H1138" s="141" t="str">
        <f t="shared" si="201"/>
        <v>/</v>
      </c>
      <c r="I1138" s="139" t="e">
        <f t="shared" si="195"/>
        <v>#NUM!</v>
      </c>
      <c r="J1138" s="139" t="e">
        <f t="shared" si="196"/>
        <v>#NUM!</v>
      </c>
      <c r="K1138" s="155">
        <f t="shared" si="199"/>
        <v>-1</v>
      </c>
      <c r="N1138" s="139">
        <f t="shared" si="197"/>
        <v>0</v>
      </c>
      <c r="O1138" s="139">
        <f t="shared" si="198"/>
        <v>1</v>
      </c>
      <c r="Q1138" s="186"/>
      <c r="R1138" s="186" t="s">
        <v>873</v>
      </c>
      <c r="S1138" s="139"/>
      <c r="V1138" s="139"/>
    </row>
    <row r="1139" spans="4:22">
      <c r="D1139" s="139"/>
      <c r="E1139" s="141" t="s">
        <v>1829</v>
      </c>
      <c r="F1139" s="141" t="s">
        <v>1756</v>
      </c>
      <c r="G1139" s="154" t="str">
        <f t="shared" si="200"/>
        <v>/</v>
      </c>
      <c r="H1139" s="141" t="str">
        <f t="shared" si="201"/>
        <v>/</v>
      </c>
      <c r="I1139" s="139" t="e">
        <f t="shared" ref="I1139:I1202" si="202">DAY(K1139)</f>
        <v>#NUM!</v>
      </c>
      <c r="J1139" s="139" t="e">
        <f t="shared" ref="J1139:J1202" si="203">MONTH(K1139)</f>
        <v>#NUM!</v>
      </c>
      <c r="K1139" s="155">
        <f t="shared" si="199"/>
        <v>-1</v>
      </c>
      <c r="N1139" s="139">
        <f t="shared" ref="N1139:N1202" si="204">DAY(P1139)</f>
        <v>0</v>
      </c>
      <c r="O1139" s="139">
        <f t="shared" ref="O1139:O1202" si="205">MONTH(P1139)</f>
        <v>1</v>
      </c>
      <c r="Q1139" s="186"/>
      <c r="R1139" s="186" t="s">
        <v>873</v>
      </c>
      <c r="S1139" s="139"/>
      <c r="V1139" s="139"/>
    </row>
    <row r="1140" spans="4:22">
      <c r="D1140" s="139"/>
      <c r="E1140" s="141" t="s">
        <v>1829</v>
      </c>
      <c r="F1140" s="141" t="s">
        <v>1756</v>
      </c>
      <c r="G1140" s="154" t="str">
        <f t="shared" si="200"/>
        <v>/</v>
      </c>
      <c r="H1140" s="141" t="str">
        <f t="shared" si="201"/>
        <v>/</v>
      </c>
      <c r="I1140" s="139" t="e">
        <f t="shared" si="202"/>
        <v>#NUM!</v>
      </c>
      <c r="J1140" s="139" t="e">
        <f t="shared" si="203"/>
        <v>#NUM!</v>
      </c>
      <c r="K1140" s="155">
        <f t="shared" si="199"/>
        <v>-1</v>
      </c>
      <c r="N1140" s="139">
        <f t="shared" si="204"/>
        <v>0</v>
      </c>
      <c r="O1140" s="139">
        <f t="shared" si="205"/>
        <v>1</v>
      </c>
      <c r="Q1140" s="186"/>
      <c r="R1140" s="186" t="s">
        <v>873</v>
      </c>
      <c r="S1140" s="139"/>
      <c r="V1140" s="139"/>
    </row>
    <row r="1141" spans="4:22">
      <c r="D1141" s="139"/>
      <c r="E1141" s="141" t="s">
        <v>1829</v>
      </c>
      <c r="F1141" s="141" t="s">
        <v>1756</v>
      </c>
      <c r="G1141" s="154" t="str">
        <f t="shared" si="200"/>
        <v>/</v>
      </c>
      <c r="H1141" s="141" t="str">
        <f t="shared" si="201"/>
        <v>/</v>
      </c>
      <c r="I1141" s="139" t="e">
        <f t="shared" si="202"/>
        <v>#NUM!</v>
      </c>
      <c r="J1141" s="139" t="e">
        <f t="shared" si="203"/>
        <v>#NUM!</v>
      </c>
      <c r="K1141" s="155">
        <f t="shared" si="199"/>
        <v>-1</v>
      </c>
      <c r="N1141" s="139">
        <f t="shared" si="204"/>
        <v>0</v>
      </c>
      <c r="O1141" s="139">
        <f t="shared" si="205"/>
        <v>1</v>
      </c>
      <c r="Q1141" s="186"/>
      <c r="R1141" s="186" t="s">
        <v>873</v>
      </c>
      <c r="S1141" s="139"/>
      <c r="V1141" s="139"/>
    </row>
    <row r="1142" spans="4:22">
      <c r="D1142" s="139"/>
      <c r="E1142" s="141" t="s">
        <v>1829</v>
      </c>
      <c r="F1142" s="141" t="s">
        <v>1756</v>
      </c>
      <c r="G1142" s="154" t="str">
        <f t="shared" si="200"/>
        <v>/</v>
      </c>
      <c r="H1142" s="141" t="str">
        <f t="shared" si="201"/>
        <v>/</v>
      </c>
      <c r="I1142" s="139" t="e">
        <f t="shared" si="202"/>
        <v>#NUM!</v>
      </c>
      <c r="J1142" s="139" t="e">
        <f t="shared" si="203"/>
        <v>#NUM!</v>
      </c>
      <c r="K1142" s="155">
        <f t="shared" si="199"/>
        <v>-1</v>
      </c>
      <c r="N1142" s="139">
        <f t="shared" si="204"/>
        <v>0</v>
      </c>
      <c r="O1142" s="139">
        <f t="shared" si="205"/>
        <v>1</v>
      </c>
      <c r="Q1142" s="186"/>
      <c r="R1142" s="186" t="s">
        <v>873</v>
      </c>
      <c r="S1142" s="139"/>
      <c r="V1142" s="139"/>
    </row>
    <row r="1143" spans="4:22">
      <c r="D1143" s="139"/>
      <c r="E1143" s="141" t="s">
        <v>1829</v>
      </c>
      <c r="F1143" s="141" t="s">
        <v>1756</v>
      </c>
      <c r="G1143" s="154" t="str">
        <f t="shared" si="200"/>
        <v>/</v>
      </c>
      <c r="H1143" s="141" t="str">
        <f t="shared" si="201"/>
        <v>/</v>
      </c>
      <c r="I1143" s="139" t="e">
        <f t="shared" si="202"/>
        <v>#NUM!</v>
      </c>
      <c r="J1143" s="139" t="e">
        <f t="shared" si="203"/>
        <v>#NUM!</v>
      </c>
      <c r="K1143" s="155">
        <f t="shared" si="199"/>
        <v>-1</v>
      </c>
      <c r="N1143" s="139">
        <f t="shared" si="204"/>
        <v>0</v>
      </c>
      <c r="O1143" s="139">
        <f t="shared" si="205"/>
        <v>1</v>
      </c>
      <c r="Q1143" s="186"/>
      <c r="R1143" s="186" t="s">
        <v>873</v>
      </c>
      <c r="S1143" s="139"/>
      <c r="V1143" s="139"/>
    </row>
    <row r="1144" spans="4:22">
      <c r="D1144" s="139"/>
      <c r="E1144" s="141" t="s">
        <v>1829</v>
      </c>
      <c r="F1144" s="141" t="s">
        <v>1756</v>
      </c>
      <c r="G1144" s="154" t="str">
        <f t="shared" si="200"/>
        <v>/</v>
      </c>
      <c r="H1144" s="141" t="str">
        <f t="shared" si="201"/>
        <v>/</v>
      </c>
      <c r="I1144" s="139" t="e">
        <f t="shared" si="202"/>
        <v>#NUM!</v>
      </c>
      <c r="J1144" s="139" t="e">
        <f t="shared" si="203"/>
        <v>#NUM!</v>
      </c>
      <c r="K1144" s="155">
        <f t="shared" si="199"/>
        <v>-1</v>
      </c>
      <c r="N1144" s="139">
        <f t="shared" si="204"/>
        <v>0</v>
      </c>
      <c r="O1144" s="139">
        <f t="shared" si="205"/>
        <v>1</v>
      </c>
      <c r="Q1144" s="186"/>
      <c r="R1144" s="186" t="s">
        <v>873</v>
      </c>
      <c r="S1144" s="139"/>
      <c r="V1144" s="139"/>
    </row>
    <row r="1145" spans="4:22">
      <c r="D1145" s="139"/>
      <c r="E1145" s="141" t="s">
        <v>1829</v>
      </c>
      <c r="F1145" s="141" t="s">
        <v>1756</v>
      </c>
      <c r="G1145" s="154" t="str">
        <f t="shared" si="200"/>
        <v>/</v>
      </c>
      <c r="H1145" s="141" t="str">
        <f t="shared" si="201"/>
        <v>/</v>
      </c>
      <c r="I1145" s="139" t="e">
        <f t="shared" si="202"/>
        <v>#NUM!</v>
      </c>
      <c r="J1145" s="139" t="e">
        <f t="shared" si="203"/>
        <v>#NUM!</v>
      </c>
      <c r="K1145" s="155">
        <f t="shared" si="199"/>
        <v>-1</v>
      </c>
      <c r="N1145" s="139">
        <f t="shared" si="204"/>
        <v>0</v>
      </c>
      <c r="O1145" s="139">
        <f t="shared" si="205"/>
        <v>1</v>
      </c>
      <c r="Q1145" s="186"/>
      <c r="R1145" s="186" t="s">
        <v>873</v>
      </c>
      <c r="S1145" s="139"/>
      <c r="V1145" s="139"/>
    </row>
    <row r="1146" spans="4:22">
      <c r="D1146" s="139"/>
      <c r="E1146" s="141" t="s">
        <v>1829</v>
      </c>
      <c r="F1146" s="141" t="s">
        <v>1756</v>
      </c>
      <c r="G1146" s="154" t="str">
        <f t="shared" si="200"/>
        <v>/</v>
      </c>
      <c r="H1146" s="141" t="str">
        <f t="shared" si="201"/>
        <v>/</v>
      </c>
      <c r="I1146" s="139" t="e">
        <f t="shared" si="202"/>
        <v>#NUM!</v>
      </c>
      <c r="J1146" s="139" t="e">
        <f t="shared" si="203"/>
        <v>#NUM!</v>
      </c>
      <c r="K1146" s="155">
        <f t="shared" ref="K1146:K1209" si="206">P1146-1</f>
        <v>-1</v>
      </c>
      <c r="N1146" s="139">
        <f t="shared" si="204"/>
        <v>0</v>
      </c>
      <c r="O1146" s="139">
        <f t="shared" si="205"/>
        <v>1</v>
      </c>
      <c r="Q1146" s="186"/>
      <c r="R1146" s="186" t="s">
        <v>873</v>
      </c>
      <c r="S1146" s="139"/>
      <c r="V1146" s="139"/>
    </row>
    <row r="1147" spans="4:22">
      <c r="D1147" s="139"/>
      <c r="E1147" s="141" t="s">
        <v>1829</v>
      </c>
      <c r="F1147" s="141" t="s">
        <v>1756</v>
      </c>
      <c r="G1147" s="154" t="str">
        <f t="shared" si="200"/>
        <v>/</v>
      </c>
      <c r="H1147" s="141" t="str">
        <f t="shared" si="201"/>
        <v>/</v>
      </c>
      <c r="I1147" s="139" t="e">
        <f t="shared" si="202"/>
        <v>#NUM!</v>
      </c>
      <c r="J1147" s="139" t="e">
        <f t="shared" si="203"/>
        <v>#NUM!</v>
      </c>
      <c r="K1147" s="155">
        <f t="shared" si="206"/>
        <v>-1</v>
      </c>
      <c r="N1147" s="139">
        <f t="shared" si="204"/>
        <v>0</v>
      </c>
      <c r="O1147" s="139">
        <f t="shared" si="205"/>
        <v>1</v>
      </c>
      <c r="Q1147" s="186"/>
      <c r="R1147" s="186" t="s">
        <v>873</v>
      </c>
      <c r="S1147" s="139"/>
      <c r="V1147" s="139"/>
    </row>
    <row r="1148" spans="4:22">
      <c r="D1148" s="139"/>
      <c r="E1148" s="141" t="s">
        <v>1829</v>
      </c>
      <c r="F1148" s="141" t="s">
        <v>1756</v>
      </c>
      <c r="G1148" s="154" t="str">
        <f t="shared" si="200"/>
        <v>/</v>
      </c>
      <c r="H1148" s="141" t="str">
        <f t="shared" si="201"/>
        <v>/</v>
      </c>
      <c r="I1148" s="139" t="e">
        <f t="shared" si="202"/>
        <v>#NUM!</v>
      </c>
      <c r="J1148" s="139" t="e">
        <f t="shared" si="203"/>
        <v>#NUM!</v>
      </c>
      <c r="K1148" s="155">
        <f t="shared" si="206"/>
        <v>-1</v>
      </c>
      <c r="N1148" s="139">
        <f t="shared" si="204"/>
        <v>0</v>
      </c>
      <c r="O1148" s="139">
        <f t="shared" si="205"/>
        <v>1</v>
      </c>
      <c r="Q1148" s="186"/>
      <c r="R1148" s="186" t="s">
        <v>873</v>
      </c>
      <c r="S1148" s="139"/>
      <c r="V1148" s="139"/>
    </row>
    <row r="1149" spans="4:22">
      <c r="D1149" s="139"/>
      <c r="E1149" s="141" t="s">
        <v>1829</v>
      </c>
      <c r="F1149" s="141" t="s">
        <v>1756</v>
      </c>
      <c r="G1149" s="154" t="str">
        <f t="shared" si="200"/>
        <v>/</v>
      </c>
      <c r="H1149" s="141" t="str">
        <f t="shared" si="201"/>
        <v>/</v>
      </c>
      <c r="I1149" s="139" t="e">
        <f t="shared" si="202"/>
        <v>#NUM!</v>
      </c>
      <c r="J1149" s="139" t="e">
        <f t="shared" si="203"/>
        <v>#NUM!</v>
      </c>
      <c r="K1149" s="155">
        <f t="shared" si="206"/>
        <v>-1</v>
      </c>
      <c r="N1149" s="139">
        <f t="shared" si="204"/>
        <v>0</v>
      </c>
      <c r="O1149" s="139">
        <f t="shared" si="205"/>
        <v>1</v>
      </c>
      <c r="Q1149" s="186"/>
      <c r="R1149" s="186" t="s">
        <v>873</v>
      </c>
      <c r="S1149" s="139"/>
      <c r="V1149" s="139"/>
    </row>
    <row r="1150" spans="4:22">
      <c r="D1150" s="139"/>
      <c r="E1150" s="141" t="s">
        <v>1829</v>
      </c>
      <c r="F1150" s="141" t="s">
        <v>1756</v>
      </c>
      <c r="G1150" s="154" t="str">
        <f t="shared" si="200"/>
        <v>/</v>
      </c>
      <c r="H1150" s="141" t="str">
        <f t="shared" si="201"/>
        <v>/</v>
      </c>
      <c r="I1150" s="139" t="e">
        <f t="shared" si="202"/>
        <v>#NUM!</v>
      </c>
      <c r="J1150" s="139" t="e">
        <f t="shared" si="203"/>
        <v>#NUM!</v>
      </c>
      <c r="K1150" s="155">
        <f t="shared" si="206"/>
        <v>-1</v>
      </c>
      <c r="N1150" s="139">
        <f t="shared" si="204"/>
        <v>0</v>
      </c>
      <c r="O1150" s="139">
        <f t="shared" si="205"/>
        <v>1</v>
      </c>
      <c r="Q1150" s="186"/>
      <c r="R1150" s="186" t="s">
        <v>873</v>
      </c>
      <c r="S1150" s="139"/>
      <c r="V1150" s="139"/>
    </row>
    <row r="1151" spans="4:22">
      <c r="D1151" s="139"/>
      <c r="E1151" s="141" t="s">
        <v>1829</v>
      </c>
      <c r="F1151" s="141" t="s">
        <v>1756</v>
      </c>
      <c r="G1151" s="154" t="str">
        <f t="shared" si="200"/>
        <v>/</v>
      </c>
      <c r="H1151" s="141" t="str">
        <f t="shared" si="201"/>
        <v>/</v>
      </c>
      <c r="I1151" s="139" t="e">
        <f t="shared" si="202"/>
        <v>#NUM!</v>
      </c>
      <c r="J1151" s="139" t="e">
        <f t="shared" si="203"/>
        <v>#NUM!</v>
      </c>
      <c r="K1151" s="155">
        <f t="shared" si="206"/>
        <v>-1</v>
      </c>
      <c r="N1151" s="139">
        <f t="shared" si="204"/>
        <v>0</v>
      </c>
      <c r="O1151" s="139">
        <f t="shared" si="205"/>
        <v>1</v>
      </c>
      <c r="Q1151" s="186"/>
      <c r="R1151" s="186" t="s">
        <v>873</v>
      </c>
      <c r="S1151" s="139"/>
      <c r="V1151" s="139"/>
    </row>
    <row r="1152" spans="4:22">
      <c r="D1152" s="139"/>
      <c r="E1152" s="141" t="s">
        <v>1829</v>
      </c>
      <c r="F1152" s="141" t="s">
        <v>1756</v>
      </c>
      <c r="G1152" s="154" t="str">
        <f t="shared" si="200"/>
        <v>/</v>
      </c>
      <c r="H1152" s="141" t="str">
        <f t="shared" si="201"/>
        <v>/</v>
      </c>
      <c r="I1152" s="139" t="e">
        <f t="shared" si="202"/>
        <v>#NUM!</v>
      </c>
      <c r="J1152" s="139" t="e">
        <f t="shared" si="203"/>
        <v>#NUM!</v>
      </c>
      <c r="K1152" s="155">
        <f t="shared" si="206"/>
        <v>-1</v>
      </c>
      <c r="N1152" s="139">
        <f t="shared" si="204"/>
        <v>0</v>
      </c>
      <c r="O1152" s="139">
        <f t="shared" si="205"/>
        <v>1</v>
      </c>
      <c r="Q1152" s="186"/>
      <c r="R1152" s="186" t="s">
        <v>873</v>
      </c>
      <c r="S1152" s="139"/>
      <c r="V1152" s="139"/>
    </row>
    <row r="1153" spans="4:22">
      <c r="D1153" s="139"/>
      <c r="E1153" s="141" t="s">
        <v>1829</v>
      </c>
      <c r="F1153" s="141" t="s">
        <v>1756</v>
      </c>
      <c r="G1153" s="154" t="str">
        <f t="shared" ref="G1153:G1216" si="207">A1153&amp;"/"&amp;B1153</f>
        <v>/</v>
      </c>
      <c r="H1153" s="141" t="str">
        <f t="shared" ref="H1153:H1216" si="208">A1153&amp;"/"&amp;B1153</f>
        <v>/</v>
      </c>
      <c r="I1153" s="139" t="e">
        <f t="shared" si="202"/>
        <v>#NUM!</v>
      </c>
      <c r="J1153" s="139" t="e">
        <f t="shared" si="203"/>
        <v>#NUM!</v>
      </c>
      <c r="K1153" s="155">
        <f t="shared" si="206"/>
        <v>-1</v>
      </c>
      <c r="N1153" s="139">
        <f t="shared" si="204"/>
        <v>0</v>
      </c>
      <c r="O1153" s="139">
        <f t="shared" si="205"/>
        <v>1</v>
      </c>
      <c r="Q1153" s="186"/>
      <c r="R1153" s="186" t="s">
        <v>873</v>
      </c>
      <c r="S1153" s="139"/>
      <c r="V1153" s="139"/>
    </row>
    <row r="1154" spans="4:22">
      <c r="D1154" s="139"/>
      <c r="E1154" s="141" t="s">
        <v>1829</v>
      </c>
      <c r="F1154" s="141" t="s">
        <v>1756</v>
      </c>
      <c r="G1154" s="154" t="str">
        <f t="shared" si="207"/>
        <v>/</v>
      </c>
      <c r="H1154" s="141" t="str">
        <f t="shared" si="208"/>
        <v>/</v>
      </c>
      <c r="I1154" s="139" t="e">
        <f t="shared" si="202"/>
        <v>#NUM!</v>
      </c>
      <c r="J1154" s="139" t="e">
        <f t="shared" si="203"/>
        <v>#NUM!</v>
      </c>
      <c r="K1154" s="155">
        <f t="shared" si="206"/>
        <v>-1</v>
      </c>
      <c r="N1154" s="139">
        <f t="shared" si="204"/>
        <v>0</v>
      </c>
      <c r="O1154" s="139">
        <f t="shared" si="205"/>
        <v>1</v>
      </c>
      <c r="Q1154" s="186"/>
      <c r="R1154" s="186" t="s">
        <v>873</v>
      </c>
      <c r="S1154" s="139"/>
      <c r="V1154" s="139"/>
    </row>
    <row r="1155" spans="4:22">
      <c r="D1155" s="139"/>
      <c r="E1155" s="141" t="s">
        <v>1829</v>
      </c>
      <c r="F1155" s="141" t="s">
        <v>1756</v>
      </c>
      <c r="G1155" s="154" t="str">
        <f t="shared" si="207"/>
        <v>/</v>
      </c>
      <c r="H1155" s="141" t="str">
        <f t="shared" si="208"/>
        <v>/</v>
      </c>
      <c r="I1155" s="139" t="e">
        <f t="shared" si="202"/>
        <v>#NUM!</v>
      </c>
      <c r="J1155" s="139" t="e">
        <f t="shared" si="203"/>
        <v>#NUM!</v>
      </c>
      <c r="K1155" s="155">
        <f t="shared" si="206"/>
        <v>-1</v>
      </c>
      <c r="N1155" s="139">
        <f t="shared" si="204"/>
        <v>0</v>
      </c>
      <c r="O1155" s="139">
        <f t="shared" si="205"/>
        <v>1</v>
      </c>
      <c r="Q1155" s="186"/>
      <c r="R1155" s="186" t="s">
        <v>873</v>
      </c>
      <c r="S1155" s="139"/>
      <c r="V1155" s="139"/>
    </row>
    <row r="1156" spans="4:22">
      <c r="D1156" s="139"/>
      <c r="E1156" s="141" t="s">
        <v>1829</v>
      </c>
      <c r="F1156" s="141" t="s">
        <v>1756</v>
      </c>
      <c r="G1156" s="154" t="str">
        <f t="shared" si="207"/>
        <v>/</v>
      </c>
      <c r="H1156" s="141" t="str">
        <f t="shared" si="208"/>
        <v>/</v>
      </c>
      <c r="I1156" s="139" t="e">
        <f t="shared" si="202"/>
        <v>#NUM!</v>
      </c>
      <c r="J1156" s="139" t="e">
        <f t="shared" si="203"/>
        <v>#NUM!</v>
      </c>
      <c r="K1156" s="155">
        <f t="shared" si="206"/>
        <v>-1</v>
      </c>
      <c r="N1156" s="139">
        <f t="shared" si="204"/>
        <v>0</v>
      </c>
      <c r="O1156" s="139">
        <f t="shared" si="205"/>
        <v>1</v>
      </c>
      <c r="Q1156" s="186"/>
      <c r="R1156" s="186" t="s">
        <v>873</v>
      </c>
      <c r="S1156" s="139"/>
      <c r="V1156" s="139"/>
    </row>
    <row r="1157" spans="4:22">
      <c r="D1157" s="139"/>
      <c r="E1157" s="141" t="s">
        <v>1829</v>
      </c>
      <c r="F1157" s="141" t="s">
        <v>1756</v>
      </c>
      <c r="G1157" s="154" t="str">
        <f t="shared" si="207"/>
        <v>/</v>
      </c>
      <c r="H1157" s="141" t="str">
        <f t="shared" si="208"/>
        <v>/</v>
      </c>
      <c r="I1157" s="139" t="e">
        <f t="shared" si="202"/>
        <v>#NUM!</v>
      </c>
      <c r="J1157" s="139" t="e">
        <f t="shared" si="203"/>
        <v>#NUM!</v>
      </c>
      <c r="K1157" s="155">
        <f t="shared" si="206"/>
        <v>-1</v>
      </c>
      <c r="N1157" s="139">
        <f t="shared" si="204"/>
        <v>0</v>
      </c>
      <c r="O1157" s="139">
        <f t="shared" si="205"/>
        <v>1</v>
      </c>
      <c r="Q1157" s="186"/>
      <c r="R1157" s="186" t="s">
        <v>873</v>
      </c>
      <c r="S1157" s="139"/>
      <c r="V1157" s="139"/>
    </row>
    <row r="1158" spans="4:22">
      <c r="D1158" s="139"/>
      <c r="E1158" s="141" t="s">
        <v>1829</v>
      </c>
      <c r="F1158" s="141" t="s">
        <v>1756</v>
      </c>
      <c r="G1158" s="154" t="str">
        <f t="shared" si="207"/>
        <v>/</v>
      </c>
      <c r="H1158" s="141" t="str">
        <f t="shared" si="208"/>
        <v>/</v>
      </c>
      <c r="I1158" s="139" t="e">
        <f t="shared" si="202"/>
        <v>#NUM!</v>
      </c>
      <c r="J1158" s="139" t="e">
        <f t="shared" si="203"/>
        <v>#NUM!</v>
      </c>
      <c r="K1158" s="155">
        <f t="shared" si="206"/>
        <v>-1</v>
      </c>
      <c r="N1158" s="139">
        <f t="shared" si="204"/>
        <v>0</v>
      </c>
      <c r="O1158" s="139">
        <f t="shared" si="205"/>
        <v>1</v>
      </c>
      <c r="Q1158" s="186"/>
      <c r="R1158" s="186" t="s">
        <v>873</v>
      </c>
      <c r="S1158" s="139"/>
      <c r="V1158" s="139"/>
    </row>
    <row r="1159" spans="4:22">
      <c r="D1159" s="139"/>
      <c r="E1159" s="141" t="s">
        <v>1829</v>
      </c>
      <c r="F1159" s="141" t="s">
        <v>1756</v>
      </c>
      <c r="G1159" s="154" t="str">
        <f t="shared" si="207"/>
        <v>/</v>
      </c>
      <c r="H1159" s="141" t="str">
        <f t="shared" si="208"/>
        <v>/</v>
      </c>
      <c r="I1159" s="139" t="e">
        <f t="shared" si="202"/>
        <v>#NUM!</v>
      </c>
      <c r="J1159" s="139" t="e">
        <f t="shared" si="203"/>
        <v>#NUM!</v>
      </c>
      <c r="K1159" s="155">
        <f t="shared" si="206"/>
        <v>-1</v>
      </c>
      <c r="N1159" s="139">
        <f t="shared" si="204"/>
        <v>0</v>
      </c>
      <c r="O1159" s="139">
        <f t="shared" si="205"/>
        <v>1</v>
      </c>
      <c r="Q1159" s="186"/>
      <c r="R1159" s="186" t="s">
        <v>873</v>
      </c>
      <c r="S1159" s="139"/>
      <c r="V1159" s="139"/>
    </row>
    <row r="1160" spans="4:22">
      <c r="D1160" s="139"/>
      <c r="E1160" s="141" t="s">
        <v>1829</v>
      </c>
      <c r="F1160" s="141" t="s">
        <v>1756</v>
      </c>
      <c r="G1160" s="154" t="str">
        <f t="shared" si="207"/>
        <v>/</v>
      </c>
      <c r="H1160" s="141" t="str">
        <f t="shared" si="208"/>
        <v>/</v>
      </c>
      <c r="I1160" s="139" t="e">
        <f t="shared" si="202"/>
        <v>#NUM!</v>
      </c>
      <c r="J1160" s="139" t="e">
        <f t="shared" si="203"/>
        <v>#NUM!</v>
      </c>
      <c r="K1160" s="155">
        <f t="shared" si="206"/>
        <v>-1</v>
      </c>
      <c r="N1160" s="139">
        <f t="shared" si="204"/>
        <v>0</v>
      </c>
      <c r="O1160" s="139">
        <f t="shared" si="205"/>
        <v>1</v>
      </c>
      <c r="Q1160" s="186"/>
      <c r="R1160" s="186" t="s">
        <v>873</v>
      </c>
      <c r="S1160" s="139"/>
      <c r="V1160" s="139"/>
    </row>
    <row r="1161" spans="4:22">
      <c r="D1161" s="139"/>
      <c r="E1161" s="141" t="s">
        <v>1829</v>
      </c>
      <c r="F1161" s="141" t="s">
        <v>1756</v>
      </c>
      <c r="G1161" s="154" t="str">
        <f t="shared" si="207"/>
        <v>/</v>
      </c>
      <c r="H1161" s="141" t="str">
        <f t="shared" si="208"/>
        <v>/</v>
      </c>
      <c r="I1161" s="139" t="e">
        <f t="shared" si="202"/>
        <v>#NUM!</v>
      </c>
      <c r="J1161" s="139" t="e">
        <f t="shared" si="203"/>
        <v>#NUM!</v>
      </c>
      <c r="K1161" s="155">
        <f t="shared" si="206"/>
        <v>-1</v>
      </c>
      <c r="N1161" s="139">
        <f t="shared" si="204"/>
        <v>0</v>
      </c>
      <c r="O1161" s="139">
        <f t="shared" si="205"/>
        <v>1</v>
      </c>
      <c r="Q1161" s="186"/>
      <c r="R1161" s="186" t="s">
        <v>873</v>
      </c>
      <c r="S1161" s="139"/>
      <c r="V1161" s="139"/>
    </row>
    <row r="1162" spans="4:22">
      <c r="D1162" s="139"/>
      <c r="E1162" s="141" t="s">
        <v>1829</v>
      </c>
      <c r="F1162" s="141" t="s">
        <v>1756</v>
      </c>
      <c r="G1162" s="154" t="str">
        <f t="shared" si="207"/>
        <v>/</v>
      </c>
      <c r="H1162" s="141" t="str">
        <f t="shared" si="208"/>
        <v>/</v>
      </c>
      <c r="I1162" s="139" t="e">
        <f t="shared" si="202"/>
        <v>#NUM!</v>
      </c>
      <c r="J1162" s="139" t="e">
        <f t="shared" si="203"/>
        <v>#NUM!</v>
      </c>
      <c r="K1162" s="155">
        <f t="shared" si="206"/>
        <v>-1</v>
      </c>
      <c r="N1162" s="139">
        <f t="shared" si="204"/>
        <v>0</v>
      </c>
      <c r="O1162" s="139">
        <f t="shared" si="205"/>
        <v>1</v>
      </c>
      <c r="Q1162" s="186"/>
      <c r="R1162" s="186" t="s">
        <v>873</v>
      </c>
      <c r="S1162" s="139"/>
      <c r="V1162" s="139"/>
    </row>
    <row r="1163" spans="4:22">
      <c r="D1163" s="139"/>
      <c r="E1163" s="141" t="s">
        <v>1829</v>
      </c>
      <c r="F1163" s="141" t="s">
        <v>1756</v>
      </c>
      <c r="G1163" s="154" t="str">
        <f t="shared" si="207"/>
        <v>/</v>
      </c>
      <c r="H1163" s="141" t="str">
        <f t="shared" si="208"/>
        <v>/</v>
      </c>
      <c r="I1163" s="139" t="e">
        <f t="shared" si="202"/>
        <v>#NUM!</v>
      </c>
      <c r="J1163" s="139" t="e">
        <f t="shared" si="203"/>
        <v>#NUM!</v>
      </c>
      <c r="K1163" s="155">
        <f t="shared" si="206"/>
        <v>-1</v>
      </c>
      <c r="N1163" s="139">
        <f t="shared" si="204"/>
        <v>0</v>
      </c>
      <c r="O1163" s="139">
        <f t="shared" si="205"/>
        <v>1</v>
      </c>
      <c r="Q1163" s="186"/>
      <c r="R1163" s="186" t="s">
        <v>873</v>
      </c>
      <c r="S1163" s="139"/>
      <c r="V1163" s="139"/>
    </row>
    <row r="1164" spans="4:22">
      <c r="D1164" s="139"/>
      <c r="E1164" s="141" t="s">
        <v>1829</v>
      </c>
      <c r="F1164" s="141" t="s">
        <v>1756</v>
      </c>
      <c r="G1164" s="154" t="str">
        <f t="shared" si="207"/>
        <v>/</v>
      </c>
      <c r="H1164" s="141" t="str">
        <f t="shared" si="208"/>
        <v>/</v>
      </c>
      <c r="I1164" s="139" t="e">
        <f t="shared" si="202"/>
        <v>#NUM!</v>
      </c>
      <c r="J1164" s="139" t="e">
        <f t="shared" si="203"/>
        <v>#NUM!</v>
      </c>
      <c r="K1164" s="155">
        <f t="shared" si="206"/>
        <v>-1</v>
      </c>
      <c r="N1164" s="139">
        <f t="shared" si="204"/>
        <v>0</v>
      </c>
      <c r="O1164" s="139">
        <f t="shared" si="205"/>
        <v>1</v>
      </c>
      <c r="Q1164" s="186"/>
      <c r="R1164" s="186" t="s">
        <v>873</v>
      </c>
      <c r="S1164" s="139"/>
      <c r="V1164" s="139"/>
    </row>
    <row r="1165" spans="4:22">
      <c r="D1165" s="139"/>
      <c r="E1165" s="141" t="s">
        <v>1829</v>
      </c>
      <c r="F1165" s="141" t="s">
        <v>1756</v>
      </c>
      <c r="G1165" s="154" t="str">
        <f t="shared" si="207"/>
        <v>/</v>
      </c>
      <c r="H1165" s="141" t="str">
        <f t="shared" si="208"/>
        <v>/</v>
      </c>
      <c r="I1165" s="139" t="e">
        <f t="shared" si="202"/>
        <v>#NUM!</v>
      </c>
      <c r="J1165" s="139" t="e">
        <f t="shared" si="203"/>
        <v>#NUM!</v>
      </c>
      <c r="K1165" s="155">
        <f t="shared" si="206"/>
        <v>-1</v>
      </c>
      <c r="N1165" s="139">
        <f t="shared" si="204"/>
        <v>0</v>
      </c>
      <c r="O1165" s="139">
        <f t="shared" si="205"/>
        <v>1</v>
      </c>
      <c r="Q1165" s="186"/>
      <c r="R1165" s="186" t="s">
        <v>873</v>
      </c>
      <c r="S1165" s="139"/>
      <c r="V1165" s="139"/>
    </row>
    <row r="1166" spans="4:22">
      <c r="D1166" s="139"/>
      <c r="E1166" s="141" t="s">
        <v>1829</v>
      </c>
      <c r="F1166" s="141" t="s">
        <v>1756</v>
      </c>
      <c r="G1166" s="154" t="str">
        <f t="shared" si="207"/>
        <v>/</v>
      </c>
      <c r="H1166" s="141" t="str">
        <f t="shared" si="208"/>
        <v>/</v>
      </c>
      <c r="I1166" s="139" t="e">
        <f t="shared" si="202"/>
        <v>#NUM!</v>
      </c>
      <c r="J1166" s="139" t="e">
        <f t="shared" si="203"/>
        <v>#NUM!</v>
      </c>
      <c r="K1166" s="155">
        <f t="shared" si="206"/>
        <v>-1</v>
      </c>
      <c r="N1166" s="139">
        <f t="shared" si="204"/>
        <v>0</v>
      </c>
      <c r="O1166" s="139">
        <f t="shared" si="205"/>
        <v>1</v>
      </c>
      <c r="Q1166" s="186"/>
      <c r="R1166" s="186" t="s">
        <v>873</v>
      </c>
      <c r="S1166" s="139"/>
      <c r="V1166" s="139"/>
    </row>
    <row r="1167" spans="4:22">
      <c r="D1167" s="139"/>
      <c r="E1167" s="141" t="s">
        <v>1829</v>
      </c>
      <c r="F1167" s="141" t="s">
        <v>1756</v>
      </c>
      <c r="G1167" s="154" t="str">
        <f t="shared" si="207"/>
        <v>/</v>
      </c>
      <c r="H1167" s="141" t="str">
        <f t="shared" si="208"/>
        <v>/</v>
      </c>
      <c r="I1167" s="139" t="e">
        <f t="shared" si="202"/>
        <v>#NUM!</v>
      </c>
      <c r="J1167" s="139" t="e">
        <f t="shared" si="203"/>
        <v>#NUM!</v>
      </c>
      <c r="K1167" s="155">
        <f t="shared" si="206"/>
        <v>-1</v>
      </c>
      <c r="N1167" s="139">
        <f t="shared" si="204"/>
        <v>0</v>
      </c>
      <c r="O1167" s="139">
        <f t="shared" si="205"/>
        <v>1</v>
      </c>
      <c r="Q1167" s="186"/>
      <c r="R1167" s="186" t="s">
        <v>873</v>
      </c>
      <c r="S1167" s="139"/>
      <c r="V1167" s="139"/>
    </row>
    <row r="1168" spans="4:22">
      <c r="D1168" s="139"/>
      <c r="E1168" s="141" t="s">
        <v>1829</v>
      </c>
      <c r="F1168" s="141" t="s">
        <v>1756</v>
      </c>
      <c r="G1168" s="154" t="str">
        <f t="shared" si="207"/>
        <v>/</v>
      </c>
      <c r="H1168" s="141" t="str">
        <f t="shared" si="208"/>
        <v>/</v>
      </c>
      <c r="I1168" s="139" t="e">
        <f t="shared" si="202"/>
        <v>#NUM!</v>
      </c>
      <c r="J1168" s="139" t="e">
        <f t="shared" si="203"/>
        <v>#NUM!</v>
      </c>
      <c r="K1168" s="155">
        <f t="shared" si="206"/>
        <v>-1</v>
      </c>
      <c r="N1168" s="139">
        <f t="shared" si="204"/>
        <v>0</v>
      </c>
      <c r="O1168" s="139">
        <f t="shared" si="205"/>
        <v>1</v>
      </c>
      <c r="Q1168" s="186"/>
      <c r="R1168" s="186" t="s">
        <v>873</v>
      </c>
      <c r="S1168" s="139"/>
      <c r="V1168" s="139"/>
    </row>
    <row r="1169" spans="4:22">
      <c r="D1169" s="139"/>
      <c r="E1169" s="141" t="s">
        <v>1829</v>
      </c>
      <c r="F1169" s="141" t="s">
        <v>1756</v>
      </c>
      <c r="G1169" s="154" t="str">
        <f t="shared" si="207"/>
        <v>/</v>
      </c>
      <c r="H1169" s="141" t="str">
        <f t="shared" si="208"/>
        <v>/</v>
      </c>
      <c r="I1169" s="139" t="e">
        <f t="shared" si="202"/>
        <v>#NUM!</v>
      </c>
      <c r="J1169" s="139" t="e">
        <f t="shared" si="203"/>
        <v>#NUM!</v>
      </c>
      <c r="K1169" s="155">
        <f t="shared" si="206"/>
        <v>-1</v>
      </c>
      <c r="N1169" s="139">
        <f t="shared" si="204"/>
        <v>0</v>
      </c>
      <c r="O1169" s="139">
        <f t="shared" si="205"/>
        <v>1</v>
      </c>
      <c r="Q1169" s="186"/>
      <c r="R1169" s="186" t="s">
        <v>873</v>
      </c>
      <c r="S1169" s="139"/>
      <c r="V1169" s="139"/>
    </row>
    <row r="1170" spans="4:22">
      <c r="D1170" s="139"/>
      <c r="E1170" s="141" t="s">
        <v>1829</v>
      </c>
      <c r="F1170" s="141" t="s">
        <v>1756</v>
      </c>
      <c r="G1170" s="154" t="str">
        <f t="shared" si="207"/>
        <v>/</v>
      </c>
      <c r="H1170" s="141" t="str">
        <f t="shared" si="208"/>
        <v>/</v>
      </c>
      <c r="I1170" s="139" t="e">
        <f t="shared" si="202"/>
        <v>#NUM!</v>
      </c>
      <c r="J1170" s="139" t="e">
        <f t="shared" si="203"/>
        <v>#NUM!</v>
      </c>
      <c r="K1170" s="155">
        <f t="shared" si="206"/>
        <v>-1</v>
      </c>
      <c r="N1170" s="139">
        <f t="shared" si="204"/>
        <v>0</v>
      </c>
      <c r="O1170" s="139">
        <f t="shared" si="205"/>
        <v>1</v>
      </c>
      <c r="Q1170" s="186"/>
      <c r="R1170" s="186" t="s">
        <v>873</v>
      </c>
      <c r="S1170" s="139"/>
      <c r="V1170" s="139"/>
    </row>
    <row r="1171" spans="4:22">
      <c r="D1171" s="139"/>
      <c r="E1171" s="141" t="s">
        <v>1829</v>
      </c>
      <c r="F1171" s="141" t="s">
        <v>1756</v>
      </c>
      <c r="G1171" s="154" t="str">
        <f t="shared" si="207"/>
        <v>/</v>
      </c>
      <c r="H1171" s="141" t="str">
        <f t="shared" si="208"/>
        <v>/</v>
      </c>
      <c r="I1171" s="139" t="e">
        <f t="shared" si="202"/>
        <v>#NUM!</v>
      </c>
      <c r="J1171" s="139" t="e">
        <f t="shared" si="203"/>
        <v>#NUM!</v>
      </c>
      <c r="K1171" s="155">
        <f t="shared" si="206"/>
        <v>-1</v>
      </c>
      <c r="N1171" s="139">
        <f t="shared" si="204"/>
        <v>0</v>
      </c>
      <c r="O1171" s="139">
        <f t="shared" si="205"/>
        <v>1</v>
      </c>
      <c r="Q1171" s="186"/>
      <c r="R1171" s="186" t="s">
        <v>873</v>
      </c>
      <c r="S1171" s="139"/>
      <c r="V1171" s="139"/>
    </row>
    <row r="1172" spans="4:22">
      <c r="D1172" s="139"/>
      <c r="E1172" s="141" t="s">
        <v>1829</v>
      </c>
      <c r="F1172" s="141" t="s">
        <v>1756</v>
      </c>
      <c r="G1172" s="154" t="str">
        <f t="shared" si="207"/>
        <v>/</v>
      </c>
      <c r="H1172" s="141" t="str">
        <f t="shared" si="208"/>
        <v>/</v>
      </c>
      <c r="I1172" s="139" t="e">
        <f t="shared" si="202"/>
        <v>#NUM!</v>
      </c>
      <c r="J1172" s="139" t="e">
        <f t="shared" si="203"/>
        <v>#NUM!</v>
      </c>
      <c r="K1172" s="155">
        <f t="shared" si="206"/>
        <v>-1</v>
      </c>
      <c r="N1172" s="139">
        <f t="shared" si="204"/>
        <v>0</v>
      </c>
      <c r="O1172" s="139">
        <f t="shared" si="205"/>
        <v>1</v>
      </c>
      <c r="Q1172" s="186"/>
      <c r="R1172" s="186" t="s">
        <v>873</v>
      </c>
      <c r="S1172" s="139"/>
      <c r="V1172" s="139"/>
    </row>
    <row r="1173" spans="4:22">
      <c r="D1173" s="139"/>
      <c r="E1173" s="141" t="s">
        <v>1829</v>
      </c>
      <c r="F1173" s="141" t="s">
        <v>1756</v>
      </c>
      <c r="G1173" s="154" t="str">
        <f t="shared" si="207"/>
        <v>/</v>
      </c>
      <c r="H1173" s="141" t="str">
        <f t="shared" si="208"/>
        <v>/</v>
      </c>
      <c r="I1173" s="139" t="e">
        <f t="shared" si="202"/>
        <v>#NUM!</v>
      </c>
      <c r="J1173" s="139" t="e">
        <f t="shared" si="203"/>
        <v>#NUM!</v>
      </c>
      <c r="K1173" s="155">
        <f t="shared" si="206"/>
        <v>-1</v>
      </c>
      <c r="N1173" s="139">
        <f t="shared" si="204"/>
        <v>0</v>
      </c>
      <c r="O1173" s="139">
        <f t="shared" si="205"/>
        <v>1</v>
      </c>
      <c r="Q1173" s="186"/>
      <c r="R1173" s="186" t="s">
        <v>873</v>
      </c>
      <c r="S1173" s="139"/>
      <c r="V1173" s="139"/>
    </row>
    <row r="1174" spans="4:22">
      <c r="D1174" s="139"/>
      <c r="E1174" s="141" t="s">
        <v>1829</v>
      </c>
      <c r="F1174" s="141" t="s">
        <v>1756</v>
      </c>
      <c r="G1174" s="154" t="str">
        <f t="shared" si="207"/>
        <v>/</v>
      </c>
      <c r="H1174" s="141" t="str">
        <f t="shared" si="208"/>
        <v>/</v>
      </c>
      <c r="I1174" s="139" t="e">
        <f t="shared" si="202"/>
        <v>#NUM!</v>
      </c>
      <c r="J1174" s="139" t="e">
        <f t="shared" si="203"/>
        <v>#NUM!</v>
      </c>
      <c r="K1174" s="155">
        <f t="shared" si="206"/>
        <v>-1</v>
      </c>
      <c r="N1174" s="139">
        <f t="shared" si="204"/>
        <v>0</v>
      </c>
      <c r="O1174" s="139">
        <f t="shared" si="205"/>
        <v>1</v>
      </c>
      <c r="Q1174" s="186"/>
      <c r="R1174" s="186" t="s">
        <v>873</v>
      </c>
      <c r="S1174" s="139"/>
      <c r="V1174" s="139"/>
    </row>
    <row r="1175" spans="4:22">
      <c r="D1175" s="139"/>
      <c r="E1175" s="141" t="s">
        <v>1829</v>
      </c>
      <c r="F1175" s="141" t="s">
        <v>1756</v>
      </c>
      <c r="G1175" s="154" t="str">
        <f t="shared" si="207"/>
        <v>/</v>
      </c>
      <c r="H1175" s="141" t="str">
        <f t="shared" si="208"/>
        <v>/</v>
      </c>
      <c r="I1175" s="139" t="e">
        <f t="shared" si="202"/>
        <v>#NUM!</v>
      </c>
      <c r="J1175" s="139" t="e">
        <f t="shared" si="203"/>
        <v>#NUM!</v>
      </c>
      <c r="K1175" s="155">
        <f t="shared" si="206"/>
        <v>-1</v>
      </c>
      <c r="N1175" s="139">
        <f t="shared" si="204"/>
        <v>0</v>
      </c>
      <c r="O1175" s="139">
        <f t="shared" si="205"/>
        <v>1</v>
      </c>
      <c r="Q1175" s="186"/>
      <c r="R1175" s="186" t="s">
        <v>873</v>
      </c>
      <c r="S1175" s="139"/>
      <c r="V1175" s="139"/>
    </row>
    <row r="1176" spans="4:22">
      <c r="D1176" s="139"/>
      <c r="E1176" s="141" t="s">
        <v>1829</v>
      </c>
      <c r="F1176" s="141" t="s">
        <v>1756</v>
      </c>
      <c r="G1176" s="154" t="str">
        <f t="shared" si="207"/>
        <v>/</v>
      </c>
      <c r="H1176" s="141" t="str">
        <f t="shared" si="208"/>
        <v>/</v>
      </c>
      <c r="I1176" s="139" t="e">
        <f t="shared" si="202"/>
        <v>#NUM!</v>
      </c>
      <c r="J1176" s="139" t="e">
        <f t="shared" si="203"/>
        <v>#NUM!</v>
      </c>
      <c r="K1176" s="155">
        <f t="shared" si="206"/>
        <v>-1</v>
      </c>
      <c r="N1176" s="139">
        <f t="shared" si="204"/>
        <v>0</v>
      </c>
      <c r="O1176" s="139">
        <f t="shared" si="205"/>
        <v>1</v>
      </c>
      <c r="Q1176" s="186"/>
      <c r="R1176" s="186" t="s">
        <v>873</v>
      </c>
      <c r="S1176" s="139"/>
      <c r="V1176" s="139"/>
    </row>
    <row r="1177" spans="4:22">
      <c r="D1177" s="139"/>
      <c r="E1177" s="141" t="s">
        <v>1829</v>
      </c>
      <c r="F1177" s="141" t="s">
        <v>1756</v>
      </c>
      <c r="G1177" s="154" t="str">
        <f t="shared" si="207"/>
        <v>/</v>
      </c>
      <c r="H1177" s="141" t="str">
        <f t="shared" si="208"/>
        <v>/</v>
      </c>
      <c r="I1177" s="139" t="e">
        <f t="shared" si="202"/>
        <v>#NUM!</v>
      </c>
      <c r="J1177" s="139" t="e">
        <f t="shared" si="203"/>
        <v>#NUM!</v>
      </c>
      <c r="K1177" s="155">
        <f t="shared" si="206"/>
        <v>-1</v>
      </c>
      <c r="N1177" s="139">
        <f t="shared" si="204"/>
        <v>0</v>
      </c>
      <c r="O1177" s="139">
        <f t="shared" si="205"/>
        <v>1</v>
      </c>
      <c r="Q1177" s="186"/>
      <c r="R1177" s="186" t="s">
        <v>873</v>
      </c>
      <c r="S1177" s="139"/>
      <c r="V1177" s="139"/>
    </row>
    <row r="1178" spans="4:22">
      <c r="D1178" s="139"/>
      <c r="E1178" s="141" t="s">
        <v>1829</v>
      </c>
      <c r="F1178" s="141" t="s">
        <v>1756</v>
      </c>
      <c r="G1178" s="154" t="str">
        <f t="shared" si="207"/>
        <v>/</v>
      </c>
      <c r="H1178" s="141" t="str">
        <f t="shared" si="208"/>
        <v>/</v>
      </c>
      <c r="I1178" s="139" t="e">
        <f t="shared" si="202"/>
        <v>#NUM!</v>
      </c>
      <c r="J1178" s="139" t="e">
        <f t="shared" si="203"/>
        <v>#NUM!</v>
      </c>
      <c r="K1178" s="155">
        <f t="shared" si="206"/>
        <v>-1</v>
      </c>
      <c r="N1178" s="139">
        <f t="shared" si="204"/>
        <v>0</v>
      </c>
      <c r="O1178" s="139">
        <f t="shared" si="205"/>
        <v>1</v>
      </c>
      <c r="Q1178" s="186"/>
      <c r="R1178" s="186" t="s">
        <v>873</v>
      </c>
      <c r="S1178" s="139"/>
      <c r="V1178" s="139"/>
    </row>
    <row r="1179" spans="4:22">
      <c r="D1179" s="139"/>
      <c r="E1179" s="141" t="s">
        <v>1829</v>
      </c>
      <c r="F1179" s="141" t="s">
        <v>1756</v>
      </c>
      <c r="G1179" s="154" t="str">
        <f t="shared" si="207"/>
        <v>/</v>
      </c>
      <c r="H1179" s="141" t="str">
        <f t="shared" si="208"/>
        <v>/</v>
      </c>
      <c r="I1179" s="139" t="e">
        <f t="shared" si="202"/>
        <v>#NUM!</v>
      </c>
      <c r="J1179" s="139" t="e">
        <f t="shared" si="203"/>
        <v>#NUM!</v>
      </c>
      <c r="K1179" s="155">
        <f t="shared" si="206"/>
        <v>-1</v>
      </c>
      <c r="N1179" s="139">
        <f t="shared" si="204"/>
        <v>0</v>
      </c>
      <c r="O1179" s="139">
        <f t="shared" si="205"/>
        <v>1</v>
      </c>
      <c r="Q1179" s="186"/>
      <c r="R1179" s="186" t="s">
        <v>873</v>
      </c>
      <c r="S1179" s="139"/>
      <c r="V1179" s="139"/>
    </row>
    <row r="1180" spans="4:22">
      <c r="D1180" s="139"/>
      <c r="E1180" s="141" t="s">
        <v>1829</v>
      </c>
      <c r="F1180" s="141" t="s">
        <v>1756</v>
      </c>
      <c r="G1180" s="154" t="str">
        <f t="shared" si="207"/>
        <v>/</v>
      </c>
      <c r="H1180" s="141" t="str">
        <f t="shared" si="208"/>
        <v>/</v>
      </c>
      <c r="I1180" s="139" t="e">
        <f t="shared" si="202"/>
        <v>#NUM!</v>
      </c>
      <c r="J1180" s="139" t="e">
        <f t="shared" si="203"/>
        <v>#NUM!</v>
      </c>
      <c r="K1180" s="155">
        <f t="shared" si="206"/>
        <v>-1</v>
      </c>
      <c r="N1180" s="139">
        <f t="shared" si="204"/>
        <v>0</v>
      </c>
      <c r="O1180" s="139">
        <f t="shared" si="205"/>
        <v>1</v>
      </c>
      <c r="Q1180" s="186"/>
      <c r="R1180" s="186" t="s">
        <v>873</v>
      </c>
      <c r="S1180" s="139"/>
      <c r="V1180" s="139"/>
    </row>
    <row r="1181" spans="4:22">
      <c r="D1181" s="139"/>
      <c r="E1181" s="141" t="s">
        <v>1829</v>
      </c>
      <c r="F1181" s="141" t="s">
        <v>1756</v>
      </c>
      <c r="G1181" s="154" t="str">
        <f t="shared" si="207"/>
        <v>/</v>
      </c>
      <c r="H1181" s="141" t="str">
        <f t="shared" si="208"/>
        <v>/</v>
      </c>
      <c r="I1181" s="139" t="e">
        <f t="shared" si="202"/>
        <v>#NUM!</v>
      </c>
      <c r="J1181" s="139" t="e">
        <f t="shared" si="203"/>
        <v>#NUM!</v>
      </c>
      <c r="K1181" s="155">
        <f t="shared" si="206"/>
        <v>-1</v>
      </c>
      <c r="N1181" s="139">
        <f t="shared" si="204"/>
        <v>0</v>
      </c>
      <c r="O1181" s="139">
        <f t="shared" si="205"/>
        <v>1</v>
      </c>
      <c r="Q1181" s="186"/>
      <c r="R1181" s="186" t="s">
        <v>873</v>
      </c>
      <c r="S1181" s="139"/>
      <c r="V1181" s="139"/>
    </row>
    <row r="1182" spans="4:22">
      <c r="D1182" s="139"/>
      <c r="E1182" s="141" t="s">
        <v>1829</v>
      </c>
      <c r="F1182" s="141" t="s">
        <v>1756</v>
      </c>
      <c r="G1182" s="154" t="str">
        <f t="shared" si="207"/>
        <v>/</v>
      </c>
      <c r="H1182" s="141" t="str">
        <f t="shared" si="208"/>
        <v>/</v>
      </c>
      <c r="I1182" s="139" t="e">
        <f t="shared" si="202"/>
        <v>#NUM!</v>
      </c>
      <c r="J1182" s="139" t="e">
        <f t="shared" si="203"/>
        <v>#NUM!</v>
      </c>
      <c r="K1182" s="155">
        <f t="shared" si="206"/>
        <v>-1</v>
      </c>
      <c r="N1182" s="139">
        <f t="shared" si="204"/>
        <v>0</v>
      </c>
      <c r="O1182" s="139">
        <f t="shared" si="205"/>
        <v>1</v>
      </c>
      <c r="Q1182" s="186"/>
      <c r="R1182" s="186" t="s">
        <v>873</v>
      </c>
      <c r="S1182" s="139"/>
      <c r="V1182" s="139"/>
    </row>
    <row r="1183" spans="4:22">
      <c r="D1183" s="139"/>
      <c r="E1183" s="141" t="s">
        <v>1829</v>
      </c>
      <c r="F1183" s="141" t="s">
        <v>1756</v>
      </c>
      <c r="G1183" s="154" t="str">
        <f t="shared" si="207"/>
        <v>/</v>
      </c>
      <c r="H1183" s="141" t="str">
        <f t="shared" si="208"/>
        <v>/</v>
      </c>
      <c r="I1183" s="139" t="e">
        <f t="shared" si="202"/>
        <v>#NUM!</v>
      </c>
      <c r="J1183" s="139" t="e">
        <f t="shared" si="203"/>
        <v>#NUM!</v>
      </c>
      <c r="K1183" s="155">
        <f t="shared" si="206"/>
        <v>-1</v>
      </c>
      <c r="N1183" s="139">
        <f t="shared" si="204"/>
        <v>0</v>
      </c>
      <c r="O1183" s="139">
        <f t="shared" si="205"/>
        <v>1</v>
      </c>
      <c r="Q1183" s="186"/>
      <c r="R1183" s="186" t="s">
        <v>873</v>
      </c>
      <c r="S1183" s="139"/>
      <c r="V1183" s="139"/>
    </row>
    <row r="1184" spans="4:22">
      <c r="D1184" s="139"/>
      <c r="E1184" s="141" t="s">
        <v>1829</v>
      </c>
      <c r="F1184" s="141" t="s">
        <v>1756</v>
      </c>
      <c r="G1184" s="154" t="str">
        <f t="shared" si="207"/>
        <v>/</v>
      </c>
      <c r="H1184" s="141" t="str">
        <f t="shared" si="208"/>
        <v>/</v>
      </c>
      <c r="I1184" s="139" t="e">
        <f t="shared" si="202"/>
        <v>#NUM!</v>
      </c>
      <c r="J1184" s="139" t="e">
        <f t="shared" si="203"/>
        <v>#NUM!</v>
      </c>
      <c r="K1184" s="155">
        <f t="shared" si="206"/>
        <v>-1</v>
      </c>
      <c r="N1184" s="139">
        <f t="shared" si="204"/>
        <v>0</v>
      </c>
      <c r="O1184" s="139">
        <f t="shared" si="205"/>
        <v>1</v>
      </c>
      <c r="Q1184" s="186"/>
      <c r="R1184" s="186" t="s">
        <v>873</v>
      </c>
      <c r="S1184" s="139"/>
      <c r="V1184" s="139"/>
    </row>
    <row r="1185" spans="4:22">
      <c r="D1185" s="139"/>
      <c r="E1185" s="141" t="s">
        <v>1829</v>
      </c>
      <c r="F1185" s="141" t="s">
        <v>1756</v>
      </c>
      <c r="G1185" s="154" t="str">
        <f t="shared" si="207"/>
        <v>/</v>
      </c>
      <c r="H1185" s="141" t="str">
        <f t="shared" si="208"/>
        <v>/</v>
      </c>
      <c r="I1185" s="139" t="e">
        <f t="shared" si="202"/>
        <v>#NUM!</v>
      </c>
      <c r="J1185" s="139" t="e">
        <f t="shared" si="203"/>
        <v>#NUM!</v>
      </c>
      <c r="K1185" s="155">
        <f t="shared" si="206"/>
        <v>-1</v>
      </c>
      <c r="N1185" s="139">
        <f t="shared" si="204"/>
        <v>0</v>
      </c>
      <c r="O1185" s="139">
        <f t="shared" si="205"/>
        <v>1</v>
      </c>
      <c r="Q1185" s="186"/>
      <c r="R1185" s="186" t="s">
        <v>873</v>
      </c>
      <c r="S1185" s="139"/>
      <c r="V1185" s="139"/>
    </row>
    <row r="1186" spans="4:22">
      <c r="D1186" s="139"/>
      <c r="E1186" s="141" t="s">
        <v>1829</v>
      </c>
      <c r="F1186" s="141" t="s">
        <v>1756</v>
      </c>
      <c r="G1186" s="154" t="str">
        <f t="shared" si="207"/>
        <v>/</v>
      </c>
      <c r="H1186" s="141" t="str">
        <f t="shared" si="208"/>
        <v>/</v>
      </c>
      <c r="I1186" s="139" t="e">
        <f t="shared" si="202"/>
        <v>#NUM!</v>
      </c>
      <c r="J1186" s="139" t="e">
        <f t="shared" si="203"/>
        <v>#NUM!</v>
      </c>
      <c r="K1186" s="155">
        <f t="shared" si="206"/>
        <v>-1</v>
      </c>
      <c r="N1186" s="139">
        <f t="shared" si="204"/>
        <v>0</v>
      </c>
      <c r="O1186" s="139">
        <f t="shared" si="205"/>
        <v>1</v>
      </c>
      <c r="Q1186" s="186"/>
      <c r="R1186" s="186" t="s">
        <v>873</v>
      </c>
      <c r="S1186" s="139"/>
      <c r="V1186" s="139"/>
    </row>
    <row r="1187" spans="4:22">
      <c r="D1187" s="139"/>
      <c r="E1187" s="141" t="s">
        <v>1829</v>
      </c>
      <c r="F1187" s="141" t="s">
        <v>1756</v>
      </c>
      <c r="G1187" s="154" t="str">
        <f t="shared" si="207"/>
        <v>/</v>
      </c>
      <c r="H1187" s="141" t="str">
        <f t="shared" si="208"/>
        <v>/</v>
      </c>
      <c r="I1187" s="139" t="e">
        <f t="shared" si="202"/>
        <v>#NUM!</v>
      </c>
      <c r="J1187" s="139" t="e">
        <f t="shared" si="203"/>
        <v>#NUM!</v>
      </c>
      <c r="K1187" s="155">
        <f t="shared" si="206"/>
        <v>-1</v>
      </c>
      <c r="N1187" s="139">
        <f t="shared" si="204"/>
        <v>0</v>
      </c>
      <c r="O1187" s="139">
        <f t="shared" si="205"/>
        <v>1</v>
      </c>
      <c r="Q1187" s="186"/>
      <c r="R1187" s="186" t="s">
        <v>873</v>
      </c>
      <c r="S1187" s="139"/>
      <c r="V1187" s="139"/>
    </row>
    <row r="1188" spans="4:22">
      <c r="D1188" s="139"/>
      <c r="E1188" s="141" t="s">
        <v>1829</v>
      </c>
      <c r="F1188" s="141" t="s">
        <v>1756</v>
      </c>
      <c r="G1188" s="154" t="str">
        <f t="shared" si="207"/>
        <v>/</v>
      </c>
      <c r="H1188" s="141" t="str">
        <f t="shared" si="208"/>
        <v>/</v>
      </c>
      <c r="I1188" s="139" t="e">
        <f t="shared" si="202"/>
        <v>#NUM!</v>
      </c>
      <c r="J1188" s="139" t="e">
        <f t="shared" si="203"/>
        <v>#NUM!</v>
      </c>
      <c r="K1188" s="155">
        <f t="shared" si="206"/>
        <v>-1</v>
      </c>
      <c r="N1188" s="139">
        <f t="shared" si="204"/>
        <v>0</v>
      </c>
      <c r="O1188" s="139">
        <f t="shared" si="205"/>
        <v>1</v>
      </c>
      <c r="Q1188" s="186"/>
      <c r="R1188" s="186" t="s">
        <v>873</v>
      </c>
      <c r="S1188" s="139"/>
      <c r="V1188" s="139"/>
    </row>
    <row r="1189" spans="4:22">
      <c r="D1189" s="139"/>
      <c r="E1189" s="141" t="s">
        <v>1829</v>
      </c>
      <c r="F1189" s="141" t="s">
        <v>1756</v>
      </c>
      <c r="G1189" s="154" t="str">
        <f t="shared" si="207"/>
        <v>/</v>
      </c>
      <c r="H1189" s="141" t="str">
        <f t="shared" si="208"/>
        <v>/</v>
      </c>
      <c r="I1189" s="139" t="e">
        <f t="shared" si="202"/>
        <v>#NUM!</v>
      </c>
      <c r="J1189" s="139" t="e">
        <f t="shared" si="203"/>
        <v>#NUM!</v>
      </c>
      <c r="K1189" s="155">
        <f t="shared" si="206"/>
        <v>-1</v>
      </c>
      <c r="N1189" s="139">
        <f t="shared" si="204"/>
        <v>0</v>
      </c>
      <c r="O1189" s="139">
        <f t="shared" si="205"/>
        <v>1</v>
      </c>
      <c r="Q1189" s="186"/>
      <c r="R1189" s="186" t="s">
        <v>873</v>
      </c>
      <c r="S1189" s="139"/>
      <c r="V1189" s="139"/>
    </row>
    <row r="1190" spans="4:22">
      <c r="D1190" s="139"/>
      <c r="E1190" s="141" t="s">
        <v>1829</v>
      </c>
      <c r="F1190" s="141" t="s">
        <v>1756</v>
      </c>
      <c r="G1190" s="154" t="str">
        <f t="shared" si="207"/>
        <v>/</v>
      </c>
      <c r="H1190" s="141" t="str">
        <f t="shared" si="208"/>
        <v>/</v>
      </c>
      <c r="I1190" s="139" t="e">
        <f t="shared" si="202"/>
        <v>#NUM!</v>
      </c>
      <c r="J1190" s="139" t="e">
        <f t="shared" si="203"/>
        <v>#NUM!</v>
      </c>
      <c r="K1190" s="155">
        <f t="shared" si="206"/>
        <v>-1</v>
      </c>
      <c r="N1190" s="139">
        <f t="shared" si="204"/>
        <v>0</v>
      </c>
      <c r="O1190" s="139">
        <f t="shared" si="205"/>
        <v>1</v>
      </c>
      <c r="Q1190" s="186"/>
      <c r="R1190" s="186" t="s">
        <v>873</v>
      </c>
      <c r="S1190" s="139"/>
      <c r="V1190" s="139"/>
    </row>
    <row r="1191" spans="4:22">
      <c r="D1191" s="139"/>
      <c r="E1191" s="141" t="s">
        <v>1829</v>
      </c>
      <c r="F1191" s="141" t="s">
        <v>1756</v>
      </c>
      <c r="G1191" s="154" t="str">
        <f t="shared" si="207"/>
        <v>/</v>
      </c>
      <c r="H1191" s="141" t="str">
        <f t="shared" si="208"/>
        <v>/</v>
      </c>
      <c r="I1191" s="139" t="e">
        <f t="shared" si="202"/>
        <v>#NUM!</v>
      </c>
      <c r="J1191" s="139" t="e">
        <f t="shared" si="203"/>
        <v>#NUM!</v>
      </c>
      <c r="K1191" s="155">
        <f t="shared" si="206"/>
        <v>-1</v>
      </c>
      <c r="N1191" s="139">
        <f t="shared" si="204"/>
        <v>0</v>
      </c>
      <c r="O1191" s="139">
        <f t="shared" si="205"/>
        <v>1</v>
      </c>
      <c r="Q1191" s="186"/>
      <c r="R1191" s="186" t="s">
        <v>873</v>
      </c>
      <c r="S1191" s="139"/>
      <c r="V1191" s="139"/>
    </row>
    <row r="1192" spans="4:22">
      <c r="D1192" s="139"/>
      <c r="E1192" s="141" t="s">
        <v>1829</v>
      </c>
      <c r="F1192" s="141" t="s">
        <v>1756</v>
      </c>
      <c r="G1192" s="154" t="str">
        <f t="shared" si="207"/>
        <v>/</v>
      </c>
      <c r="H1192" s="141" t="str">
        <f t="shared" si="208"/>
        <v>/</v>
      </c>
      <c r="I1192" s="139" t="e">
        <f t="shared" si="202"/>
        <v>#NUM!</v>
      </c>
      <c r="J1192" s="139" t="e">
        <f t="shared" si="203"/>
        <v>#NUM!</v>
      </c>
      <c r="K1192" s="155">
        <f t="shared" si="206"/>
        <v>-1</v>
      </c>
      <c r="N1192" s="139">
        <f t="shared" si="204"/>
        <v>0</v>
      </c>
      <c r="O1192" s="139">
        <f t="shared" si="205"/>
        <v>1</v>
      </c>
      <c r="Q1192" s="186"/>
      <c r="R1192" s="186" t="s">
        <v>873</v>
      </c>
      <c r="S1192" s="139"/>
      <c r="V1192" s="139"/>
    </row>
    <row r="1193" spans="4:22">
      <c r="D1193" s="139"/>
      <c r="E1193" s="141" t="s">
        <v>1829</v>
      </c>
      <c r="F1193" s="141" t="s">
        <v>1756</v>
      </c>
      <c r="G1193" s="154" t="str">
        <f t="shared" si="207"/>
        <v>/</v>
      </c>
      <c r="H1193" s="141" t="str">
        <f t="shared" si="208"/>
        <v>/</v>
      </c>
      <c r="I1193" s="139" t="e">
        <f t="shared" si="202"/>
        <v>#NUM!</v>
      </c>
      <c r="J1193" s="139" t="e">
        <f t="shared" si="203"/>
        <v>#NUM!</v>
      </c>
      <c r="K1193" s="155">
        <f t="shared" si="206"/>
        <v>-1</v>
      </c>
      <c r="N1193" s="139">
        <f t="shared" si="204"/>
        <v>0</v>
      </c>
      <c r="O1193" s="139">
        <f t="shared" si="205"/>
        <v>1</v>
      </c>
      <c r="Q1193" s="186"/>
      <c r="R1193" s="186" t="s">
        <v>873</v>
      </c>
      <c r="S1193" s="139"/>
      <c r="V1193" s="139"/>
    </row>
    <row r="1194" spans="4:22">
      <c r="D1194" s="139"/>
      <c r="E1194" s="141" t="s">
        <v>1829</v>
      </c>
      <c r="F1194" s="141" t="s">
        <v>1756</v>
      </c>
      <c r="G1194" s="154" t="str">
        <f t="shared" si="207"/>
        <v>/</v>
      </c>
      <c r="H1194" s="141" t="str">
        <f t="shared" si="208"/>
        <v>/</v>
      </c>
      <c r="I1194" s="139" t="e">
        <f t="shared" si="202"/>
        <v>#NUM!</v>
      </c>
      <c r="J1194" s="139" t="e">
        <f t="shared" si="203"/>
        <v>#NUM!</v>
      </c>
      <c r="K1194" s="155">
        <f t="shared" si="206"/>
        <v>-1</v>
      </c>
      <c r="N1194" s="139">
        <f t="shared" si="204"/>
        <v>0</v>
      </c>
      <c r="O1194" s="139">
        <f t="shared" si="205"/>
        <v>1</v>
      </c>
      <c r="Q1194" s="186"/>
      <c r="R1194" s="186" t="s">
        <v>873</v>
      </c>
      <c r="S1194" s="139"/>
      <c r="V1194" s="139"/>
    </row>
    <row r="1195" spans="4:22">
      <c r="D1195" s="139"/>
      <c r="E1195" s="141" t="s">
        <v>1829</v>
      </c>
      <c r="F1195" s="141" t="s">
        <v>1756</v>
      </c>
      <c r="G1195" s="154" t="str">
        <f t="shared" si="207"/>
        <v>/</v>
      </c>
      <c r="H1195" s="141" t="str">
        <f t="shared" si="208"/>
        <v>/</v>
      </c>
      <c r="I1195" s="139" t="e">
        <f t="shared" si="202"/>
        <v>#NUM!</v>
      </c>
      <c r="J1195" s="139" t="e">
        <f t="shared" si="203"/>
        <v>#NUM!</v>
      </c>
      <c r="K1195" s="155">
        <f t="shared" si="206"/>
        <v>-1</v>
      </c>
      <c r="N1195" s="139">
        <f t="shared" si="204"/>
        <v>0</v>
      </c>
      <c r="O1195" s="139">
        <f t="shared" si="205"/>
        <v>1</v>
      </c>
      <c r="Q1195" s="186"/>
      <c r="R1195" s="186" t="s">
        <v>873</v>
      </c>
      <c r="S1195" s="139"/>
      <c r="V1195" s="139"/>
    </row>
    <row r="1196" spans="4:22">
      <c r="D1196" s="139"/>
      <c r="E1196" s="141" t="s">
        <v>1829</v>
      </c>
      <c r="F1196" s="141" t="s">
        <v>1756</v>
      </c>
      <c r="G1196" s="154" t="str">
        <f t="shared" si="207"/>
        <v>/</v>
      </c>
      <c r="H1196" s="141" t="str">
        <f t="shared" si="208"/>
        <v>/</v>
      </c>
      <c r="I1196" s="139" t="e">
        <f t="shared" si="202"/>
        <v>#NUM!</v>
      </c>
      <c r="J1196" s="139" t="e">
        <f t="shared" si="203"/>
        <v>#NUM!</v>
      </c>
      <c r="K1196" s="155">
        <f t="shared" si="206"/>
        <v>-1</v>
      </c>
      <c r="N1196" s="139">
        <f t="shared" si="204"/>
        <v>0</v>
      </c>
      <c r="O1196" s="139">
        <f t="shared" si="205"/>
        <v>1</v>
      </c>
      <c r="Q1196" s="186"/>
      <c r="R1196" s="186" t="s">
        <v>873</v>
      </c>
      <c r="S1196" s="139"/>
      <c r="V1196" s="139"/>
    </row>
    <row r="1197" spans="4:22">
      <c r="D1197" s="139"/>
      <c r="E1197" s="141" t="s">
        <v>1829</v>
      </c>
      <c r="F1197" s="141" t="s">
        <v>1756</v>
      </c>
      <c r="G1197" s="154" t="str">
        <f t="shared" si="207"/>
        <v>/</v>
      </c>
      <c r="H1197" s="141" t="str">
        <f t="shared" si="208"/>
        <v>/</v>
      </c>
      <c r="I1197" s="139" t="e">
        <f t="shared" si="202"/>
        <v>#NUM!</v>
      </c>
      <c r="J1197" s="139" t="e">
        <f t="shared" si="203"/>
        <v>#NUM!</v>
      </c>
      <c r="K1197" s="155">
        <f t="shared" si="206"/>
        <v>-1</v>
      </c>
      <c r="N1197" s="139">
        <f t="shared" si="204"/>
        <v>0</v>
      </c>
      <c r="O1197" s="139">
        <f t="shared" si="205"/>
        <v>1</v>
      </c>
      <c r="Q1197" s="186"/>
      <c r="R1197" s="186" t="s">
        <v>873</v>
      </c>
      <c r="S1197" s="139"/>
      <c r="V1197" s="139"/>
    </row>
    <row r="1198" spans="4:22">
      <c r="D1198" s="139"/>
      <c r="E1198" s="141" t="s">
        <v>1829</v>
      </c>
      <c r="F1198" s="141" t="s">
        <v>1756</v>
      </c>
      <c r="G1198" s="154" t="str">
        <f t="shared" si="207"/>
        <v>/</v>
      </c>
      <c r="H1198" s="141" t="str">
        <f t="shared" si="208"/>
        <v>/</v>
      </c>
      <c r="I1198" s="139" t="e">
        <f t="shared" si="202"/>
        <v>#NUM!</v>
      </c>
      <c r="J1198" s="139" t="e">
        <f t="shared" si="203"/>
        <v>#NUM!</v>
      </c>
      <c r="K1198" s="155">
        <f t="shared" si="206"/>
        <v>-1</v>
      </c>
      <c r="N1198" s="139">
        <f t="shared" si="204"/>
        <v>0</v>
      </c>
      <c r="O1198" s="139">
        <f t="shared" si="205"/>
        <v>1</v>
      </c>
      <c r="Q1198" s="186"/>
      <c r="R1198" s="186" t="s">
        <v>873</v>
      </c>
      <c r="S1198" s="139"/>
      <c r="V1198" s="139"/>
    </row>
    <row r="1199" spans="4:22">
      <c r="D1199" s="139"/>
      <c r="E1199" s="141" t="s">
        <v>1829</v>
      </c>
      <c r="F1199" s="141" t="s">
        <v>1756</v>
      </c>
      <c r="G1199" s="154" t="str">
        <f t="shared" si="207"/>
        <v>/</v>
      </c>
      <c r="H1199" s="141" t="str">
        <f t="shared" si="208"/>
        <v>/</v>
      </c>
      <c r="I1199" s="139" t="e">
        <f t="shared" si="202"/>
        <v>#NUM!</v>
      </c>
      <c r="J1199" s="139" t="e">
        <f t="shared" si="203"/>
        <v>#NUM!</v>
      </c>
      <c r="K1199" s="155">
        <f t="shared" si="206"/>
        <v>-1</v>
      </c>
      <c r="N1199" s="139">
        <f t="shared" si="204"/>
        <v>0</v>
      </c>
      <c r="O1199" s="139">
        <f t="shared" si="205"/>
        <v>1</v>
      </c>
      <c r="Q1199" s="186"/>
      <c r="R1199" s="186" t="s">
        <v>873</v>
      </c>
      <c r="S1199" s="139"/>
      <c r="V1199" s="139"/>
    </row>
    <row r="1200" spans="4:22">
      <c r="D1200" s="139"/>
      <c r="E1200" s="141" t="s">
        <v>1829</v>
      </c>
      <c r="F1200" s="141" t="s">
        <v>1756</v>
      </c>
      <c r="G1200" s="154" t="str">
        <f t="shared" si="207"/>
        <v>/</v>
      </c>
      <c r="H1200" s="141" t="str">
        <f t="shared" si="208"/>
        <v>/</v>
      </c>
      <c r="I1200" s="139" t="e">
        <f t="shared" si="202"/>
        <v>#NUM!</v>
      </c>
      <c r="J1200" s="139" t="e">
        <f t="shared" si="203"/>
        <v>#NUM!</v>
      </c>
      <c r="K1200" s="155">
        <f t="shared" si="206"/>
        <v>-1</v>
      </c>
      <c r="N1200" s="139">
        <f t="shared" si="204"/>
        <v>0</v>
      </c>
      <c r="O1200" s="139">
        <f t="shared" si="205"/>
        <v>1</v>
      </c>
      <c r="Q1200" s="186"/>
      <c r="R1200" s="186" t="s">
        <v>873</v>
      </c>
      <c r="S1200" s="139"/>
      <c r="V1200" s="139"/>
    </row>
    <row r="1201" spans="4:22">
      <c r="D1201" s="139"/>
      <c r="E1201" s="141" t="s">
        <v>1829</v>
      </c>
      <c r="F1201" s="141" t="s">
        <v>1756</v>
      </c>
      <c r="G1201" s="154" t="str">
        <f t="shared" si="207"/>
        <v>/</v>
      </c>
      <c r="H1201" s="141" t="str">
        <f t="shared" si="208"/>
        <v>/</v>
      </c>
      <c r="I1201" s="139" t="e">
        <f t="shared" si="202"/>
        <v>#NUM!</v>
      </c>
      <c r="J1201" s="139" t="e">
        <f t="shared" si="203"/>
        <v>#NUM!</v>
      </c>
      <c r="K1201" s="155">
        <f t="shared" si="206"/>
        <v>-1</v>
      </c>
      <c r="N1201" s="139">
        <f t="shared" si="204"/>
        <v>0</v>
      </c>
      <c r="O1201" s="139">
        <f t="shared" si="205"/>
        <v>1</v>
      </c>
      <c r="Q1201" s="186"/>
      <c r="R1201" s="186" t="s">
        <v>873</v>
      </c>
      <c r="S1201" s="139"/>
      <c r="V1201" s="139"/>
    </row>
    <row r="1202" spans="4:22">
      <c r="D1202" s="139"/>
      <c r="E1202" s="141" t="s">
        <v>1829</v>
      </c>
      <c r="F1202" s="141" t="s">
        <v>1756</v>
      </c>
      <c r="G1202" s="154" t="str">
        <f t="shared" si="207"/>
        <v>/</v>
      </c>
      <c r="H1202" s="141" t="str">
        <f t="shared" si="208"/>
        <v>/</v>
      </c>
      <c r="I1202" s="139" t="e">
        <f t="shared" si="202"/>
        <v>#NUM!</v>
      </c>
      <c r="J1202" s="139" t="e">
        <f t="shared" si="203"/>
        <v>#NUM!</v>
      </c>
      <c r="K1202" s="155">
        <f t="shared" si="206"/>
        <v>-1</v>
      </c>
      <c r="N1202" s="139">
        <f t="shared" si="204"/>
        <v>0</v>
      </c>
      <c r="O1202" s="139">
        <f t="shared" si="205"/>
        <v>1</v>
      </c>
      <c r="Q1202" s="186"/>
      <c r="R1202" s="186" t="s">
        <v>873</v>
      </c>
      <c r="S1202" s="139"/>
      <c r="V1202" s="139"/>
    </row>
    <row r="1203" spans="4:22">
      <c r="D1203" s="139"/>
      <c r="E1203" s="141" t="s">
        <v>1829</v>
      </c>
      <c r="F1203" s="141" t="s">
        <v>1756</v>
      </c>
      <c r="G1203" s="154" t="str">
        <f t="shared" si="207"/>
        <v>/</v>
      </c>
      <c r="H1203" s="141" t="str">
        <f t="shared" si="208"/>
        <v>/</v>
      </c>
      <c r="I1203" s="139" t="e">
        <f t="shared" ref="I1203:I1266" si="209">DAY(K1203)</f>
        <v>#NUM!</v>
      </c>
      <c r="J1203" s="139" t="e">
        <f t="shared" ref="J1203:J1266" si="210">MONTH(K1203)</f>
        <v>#NUM!</v>
      </c>
      <c r="K1203" s="155">
        <f t="shared" si="206"/>
        <v>-1</v>
      </c>
      <c r="N1203" s="139">
        <f t="shared" ref="N1203:N1266" si="211">DAY(P1203)</f>
        <v>0</v>
      </c>
      <c r="O1203" s="139">
        <f t="shared" ref="O1203:O1266" si="212">MONTH(P1203)</f>
        <v>1</v>
      </c>
      <c r="Q1203" s="186"/>
      <c r="R1203" s="186" t="s">
        <v>873</v>
      </c>
      <c r="S1203" s="139"/>
      <c r="V1203" s="139"/>
    </row>
    <row r="1204" spans="4:22">
      <c r="D1204" s="139"/>
      <c r="E1204" s="141" t="s">
        <v>1829</v>
      </c>
      <c r="F1204" s="141" t="s">
        <v>1756</v>
      </c>
      <c r="G1204" s="154" t="str">
        <f t="shared" si="207"/>
        <v>/</v>
      </c>
      <c r="H1204" s="141" t="str">
        <f t="shared" si="208"/>
        <v>/</v>
      </c>
      <c r="I1204" s="139" t="e">
        <f t="shared" si="209"/>
        <v>#NUM!</v>
      </c>
      <c r="J1204" s="139" t="e">
        <f t="shared" si="210"/>
        <v>#NUM!</v>
      </c>
      <c r="K1204" s="155">
        <f t="shared" si="206"/>
        <v>-1</v>
      </c>
      <c r="N1204" s="139">
        <f t="shared" si="211"/>
        <v>0</v>
      </c>
      <c r="O1204" s="139">
        <f t="shared" si="212"/>
        <v>1</v>
      </c>
      <c r="Q1204" s="186"/>
      <c r="R1204" s="186" t="s">
        <v>873</v>
      </c>
      <c r="S1204" s="139"/>
      <c r="V1204" s="139"/>
    </row>
    <row r="1205" spans="4:22">
      <c r="D1205" s="139"/>
      <c r="E1205" s="141" t="s">
        <v>1829</v>
      </c>
      <c r="F1205" s="141" t="s">
        <v>1756</v>
      </c>
      <c r="G1205" s="154" t="str">
        <f t="shared" si="207"/>
        <v>/</v>
      </c>
      <c r="H1205" s="141" t="str">
        <f t="shared" si="208"/>
        <v>/</v>
      </c>
      <c r="I1205" s="139" t="e">
        <f t="shared" si="209"/>
        <v>#NUM!</v>
      </c>
      <c r="J1205" s="139" t="e">
        <f t="shared" si="210"/>
        <v>#NUM!</v>
      </c>
      <c r="K1205" s="155">
        <f t="shared" si="206"/>
        <v>-1</v>
      </c>
      <c r="N1205" s="139">
        <f t="shared" si="211"/>
        <v>0</v>
      </c>
      <c r="O1205" s="139">
        <f t="shared" si="212"/>
        <v>1</v>
      </c>
      <c r="Q1205" s="186"/>
      <c r="R1205" s="186" t="s">
        <v>873</v>
      </c>
      <c r="S1205" s="139"/>
      <c r="V1205" s="139"/>
    </row>
    <row r="1206" spans="4:22">
      <c r="D1206" s="139"/>
      <c r="E1206" s="141" t="s">
        <v>1829</v>
      </c>
      <c r="F1206" s="141" t="s">
        <v>1756</v>
      </c>
      <c r="G1206" s="154" t="str">
        <f t="shared" si="207"/>
        <v>/</v>
      </c>
      <c r="H1206" s="141" t="str">
        <f t="shared" si="208"/>
        <v>/</v>
      </c>
      <c r="I1206" s="139" t="e">
        <f t="shared" si="209"/>
        <v>#NUM!</v>
      </c>
      <c r="J1206" s="139" t="e">
        <f t="shared" si="210"/>
        <v>#NUM!</v>
      </c>
      <c r="K1206" s="155">
        <f t="shared" si="206"/>
        <v>-1</v>
      </c>
      <c r="N1206" s="139">
        <f t="shared" si="211"/>
        <v>0</v>
      </c>
      <c r="O1206" s="139">
        <f t="shared" si="212"/>
        <v>1</v>
      </c>
      <c r="Q1206" s="186"/>
      <c r="R1206" s="186" t="s">
        <v>873</v>
      </c>
      <c r="S1206" s="139"/>
      <c r="V1206" s="139"/>
    </row>
    <row r="1207" spans="4:22">
      <c r="D1207" s="139"/>
      <c r="E1207" s="141" t="s">
        <v>1829</v>
      </c>
      <c r="F1207" s="141" t="s">
        <v>1756</v>
      </c>
      <c r="G1207" s="154" t="str">
        <f t="shared" si="207"/>
        <v>/</v>
      </c>
      <c r="H1207" s="141" t="str">
        <f t="shared" si="208"/>
        <v>/</v>
      </c>
      <c r="I1207" s="139" t="e">
        <f t="shared" si="209"/>
        <v>#NUM!</v>
      </c>
      <c r="J1207" s="139" t="e">
        <f t="shared" si="210"/>
        <v>#NUM!</v>
      </c>
      <c r="K1207" s="155">
        <f t="shared" si="206"/>
        <v>-1</v>
      </c>
      <c r="N1207" s="139">
        <f t="shared" si="211"/>
        <v>0</v>
      </c>
      <c r="O1207" s="139">
        <f t="shared" si="212"/>
        <v>1</v>
      </c>
      <c r="Q1207" s="186"/>
      <c r="R1207" s="186" t="s">
        <v>873</v>
      </c>
      <c r="S1207" s="139"/>
      <c r="V1207" s="139"/>
    </row>
    <row r="1208" spans="4:22">
      <c r="D1208" s="139"/>
      <c r="E1208" s="141" t="s">
        <v>1829</v>
      </c>
      <c r="F1208" s="141" t="s">
        <v>1756</v>
      </c>
      <c r="G1208" s="154" t="str">
        <f t="shared" si="207"/>
        <v>/</v>
      </c>
      <c r="H1208" s="141" t="str">
        <f t="shared" si="208"/>
        <v>/</v>
      </c>
      <c r="I1208" s="139" t="e">
        <f t="shared" si="209"/>
        <v>#NUM!</v>
      </c>
      <c r="J1208" s="139" t="e">
        <f t="shared" si="210"/>
        <v>#NUM!</v>
      </c>
      <c r="K1208" s="155">
        <f t="shared" si="206"/>
        <v>-1</v>
      </c>
      <c r="N1208" s="139">
        <f t="shared" si="211"/>
        <v>0</v>
      </c>
      <c r="O1208" s="139">
        <f t="shared" si="212"/>
        <v>1</v>
      </c>
      <c r="Q1208" s="186"/>
      <c r="R1208" s="186" t="s">
        <v>873</v>
      </c>
      <c r="S1208" s="139"/>
      <c r="V1208" s="139"/>
    </row>
    <row r="1209" spans="4:22">
      <c r="D1209" s="139"/>
      <c r="E1209" s="141" t="s">
        <v>1829</v>
      </c>
      <c r="F1209" s="141" t="s">
        <v>1756</v>
      </c>
      <c r="G1209" s="154" t="str">
        <f t="shared" si="207"/>
        <v>/</v>
      </c>
      <c r="H1209" s="141" t="str">
        <f t="shared" si="208"/>
        <v>/</v>
      </c>
      <c r="I1209" s="139" t="e">
        <f t="shared" si="209"/>
        <v>#NUM!</v>
      </c>
      <c r="J1209" s="139" t="e">
        <f t="shared" si="210"/>
        <v>#NUM!</v>
      </c>
      <c r="K1209" s="155">
        <f t="shared" si="206"/>
        <v>-1</v>
      </c>
      <c r="N1209" s="139">
        <f t="shared" si="211"/>
        <v>0</v>
      </c>
      <c r="O1209" s="139">
        <f t="shared" si="212"/>
        <v>1</v>
      </c>
      <c r="Q1209" s="186"/>
      <c r="R1209" s="186" t="s">
        <v>873</v>
      </c>
      <c r="S1209" s="139"/>
      <c r="V1209" s="139"/>
    </row>
    <row r="1210" spans="4:22">
      <c r="D1210" s="139"/>
      <c r="E1210" s="141" t="s">
        <v>1829</v>
      </c>
      <c r="F1210" s="141" t="s">
        <v>1756</v>
      </c>
      <c r="G1210" s="154" t="str">
        <f t="shared" si="207"/>
        <v>/</v>
      </c>
      <c r="H1210" s="141" t="str">
        <f t="shared" si="208"/>
        <v>/</v>
      </c>
      <c r="I1210" s="139" t="e">
        <f t="shared" si="209"/>
        <v>#NUM!</v>
      </c>
      <c r="J1210" s="139" t="e">
        <f t="shared" si="210"/>
        <v>#NUM!</v>
      </c>
      <c r="K1210" s="155">
        <f t="shared" ref="K1210:K1273" si="213">P1210-1</f>
        <v>-1</v>
      </c>
      <c r="N1210" s="139">
        <f t="shared" si="211"/>
        <v>0</v>
      </c>
      <c r="O1210" s="139">
        <f t="shared" si="212"/>
        <v>1</v>
      </c>
      <c r="Q1210" s="186"/>
      <c r="R1210" s="186" t="s">
        <v>873</v>
      </c>
      <c r="S1210" s="139"/>
      <c r="V1210" s="139"/>
    </row>
    <row r="1211" spans="4:22">
      <c r="D1211" s="139"/>
      <c r="E1211" s="141" t="s">
        <v>1829</v>
      </c>
      <c r="F1211" s="141" t="s">
        <v>1756</v>
      </c>
      <c r="G1211" s="154" t="str">
        <f t="shared" si="207"/>
        <v>/</v>
      </c>
      <c r="H1211" s="141" t="str">
        <f t="shared" si="208"/>
        <v>/</v>
      </c>
      <c r="I1211" s="139" t="e">
        <f t="shared" si="209"/>
        <v>#NUM!</v>
      </c>
      <c r="J1211" s="139" t="e">
        <f t="shared" si="210"/>
        <v>#NUM!</v>
      </c>
      <c r="K1211" s="155">
        <f t="shared" si="213"/>
        <v>-1</v>
      </c>
      <c r="N1211" s="139">
        <f t="shared" si="211"/>
        <v>0</v>
      </c>
      <c r="O1211" s="139">
        <f t="shared" si="212"/>
        <v>1</v>
      </c>
      <c r="Q1211" s="186"/>
      <c r="R1211" s="186" t="s">
        <v>873</v>
      </c>
      <c r="S1211" s="139"/>
      <c r="V1211" s="139"/>
    </row>
    <row r="1212" spans="4:22">
      <c r="D1212" s="139"/>
      <c r="E1212" s="141" t="s">
        <v>1829</v>
      </c>
      <c r="F1212" s="141" t="s">
        <v>1756</v>
      </c>
      <c r="G1212" s="154" t="str">
        <f t="shared" si="207"/>
        <v>/</v>
      </c>
      <c r="H1212" s="141" t="str">
        <f t="shared" si="208"/>
        <v>/</v>
      </c>
      <c r="I1212" s="139" t="e">
        <f t="shared" si="209"/>
        <v>#NUM!</v>
      </c>
      <c r="J1212" s="139" t="e">
        <f t="shared" si="210"/>
        <v>#NUM!</v>
      </c>
      <c r="K1212" s="155">
        <f t="shared" si="213"/>
        <v>-1</v>
      </c>
      <c r="N1212" s="139">
        <f t="shared" si="211"/>
        <v>0</v>
      </c>
      <c r="O1212" s="139">
        <f t="shared" si="212"/>
        <v>1</v>
      </c>
      <c r="Q1212" s="186"/>
      <c r="R1212" s="186" t="s">
        <v>873</v>
      </c>
      <c r="S1212" s="139"/>
      <c r="V1212" s="139"/>
    </row>
    <row r="1213" spans="4:22">
      <c r="D1213" s="139"/>
      <c r="E1213" s="141" t="s">
        <v>1829</v>
      </c>
      <c r="F1213" s="141" t="s">
        <v>1756</v>
      </c>
      <c r="G1213" s="154" t="str">
        <f t="shared" si="207"/>
        <v>/</v>
      </c>
      <c r="H1213" s="141" t="str">
        <f t="shared" si="208"/>
        <v>/</v>
      </c>
      <c r="I1213" s="139" t="e">
        <f t="shared" si="209"/>
        <v>#NUM!</v>
      </c>
      <c r="J1213" s="139" t="e">
        <f t="shared" si="210"/>
        <v>#NUM!</v>
      </c>
      <c r="K1213" s="155">
        <f t="shared" si="213"/>
        <v>-1</v>
      </c>
      <c r="N1213" s="139">
        <f t="shared" si="211"/>
        <v>0</v>
      </c>
      <c r="O1213" s="139">
        <f t="shared" si="212"/>
        <v>1</v>
      </c>
      <c r="Q1213" s="186"/>
      <c r="R1213" s="186" t="s">
        <v>873</v>
      </c>
      <c r="S1213" s="139"/>
      <c r="V1213" s="139"/>
    </row>
    <row r="1214" spans="4:22">
      <c r="D1214" s="139"/>
      <c r="E1214" s="141" t="s">
        <v>1829</v>
      </c>
      <c r="F1214" s="141" t="s">
        <v>1756</v>
      </c>
      <c r="G1214" s="154" t="str">
        <f t="shared" si="207"/>
        <v>/</v>
      </c>
      <c r="H1214" s="141" t="str">
        <f t="shared" si="208"/>
        <v>/</v>
      </c>
      <c r="I1214" s="139" t="e">
        <f t="shared" si="209"/>
        <v>#NUM!</v>
      </c>
      <c r="J1214" s="139" t="e">
        <f t="shared" si="210"/>
        <v>#NUM!</v>
      </c>
      <c r="K1214" s="155">
        <f t="shared" si="213"/>
        <v>-1</v>
      </c>
      <c r="N1214" s="139">
        <f t="shared" si="211"/>
        <v>0</v>
      </c>
      <c r="O1214" s="139">
        <f t="shared" si="212"/>
        <v>1</v>
      </c>
      <c r="Q1214" s="186"/>
      <c r="R1214" s="186" t="s">
        <v>873</v>
      </c>
      <c r="S1214" s="139"/>
      <c r="V1214" s="139"/>
    </row>
    <row r="1215" spans="4:22">
      <c r="D1215" s="139"/>
      <c r="E1215" s="141" t="s">
        <v>1829</v>
      </c>
      <c r="F1215" s="141" t="s">
        <v>1756</v>
      </c>
      <c r="G1215" s="154" t="str">
        <f t="shared" si="207"/>
        <v>/</v>
      </c>
      <c r="H1215" s="141" t="str">
        <f t="shared" si="208"/>
        <v>/</v>
      </c>
      <c r="I1215" s="139" t="e">
        <f t="shared" si="209"/>
        <v>#NUM!</v>
      </c>
      <c r="J1215" s="139" t="e">
        <f t="shared" si="210"/>
        <v>#NUM!</v>
      </c>
      <c r="K1215" s="155">
        <f t="shared" si="213"/>
        <v>-1</v>
      </c>
      <c r="N1215" s="139">
        <f t="shared" si="211"/>
        <v>0</v>
      </c>
      <c r="O1215" s="139">
        <f t="shared" si="212"/>
        <v>1</v>
      </c>
      <c r="Q1215" s="186"/>
      <c r="R1215" s="186" t="s">
        <v>873</v>
      </c>
      <c r="S1215" s="139"/>
      <c r="V1215" s="139"/>
    </row>
    <row r="1216" spans="4:22">
      <c r="D1216" s="139"/>
      <c r="E1216" s="141" t="s">
        <v>1829</v>
      </c>
      <c r="F1216" s="141" t="s">
        <v>1756</v>
      </c>
      <c r="G1216" s="154" t="str">
        <f t="shared" si="207"/>
        <v>/</v>
      </c>
      <c r="H1216" s="141" t="str">
        <f t="shared" si="208"/>
        <v>/</v>
      </c>
      <c r="I1216" s="139" t="e">
        <f t="shared" si="209"/>
        <v>#NUM!</v>
      </c>
      <c r="J1216" s="139" t="e">
        <f t="shared" si="210"/>
        <v>#NUM!</v>
      </c>
      <c r="K1216" s="155">
        <f t="shared" si="213"/>
        <v>-1</v>
      </c>
      <c r="N1216" s="139">
        <f t="shared" si="211"/>
        <v>0</v>
      </c>
      <c r="O1216" s="139">
        <f t="shared" si="212"/>
        <v>1</v>
      </c>
      <c r="Q1216" s="186"/>
      <c r="R1216" s="186" t="s">
        <v>873</v>
      </c>
      <c r="S1216" s="139"/>
      <c r="V1216" s="139"/>
    </row>
    <row r="1217" spans="4:22">
      <c r="D1217" s="139"/>
      <c r="E1217" s="141" t="s">
        <v>1829</v>
      </c>
      <c r="F1217" s="141" t="s">
        <v>1756</v>
      </c>
      <c r="G1217" s="154" t="str">
        <f t="shared" ref="G1217:G1280" si="214">A1217&amp;"/"&amp;B1217</f>
        <v>/</v>
      </c>
      <c r="H1217" s="141" t="str">
        <f t="shared" ref="H1217:H1280" si="215">A1217&amp;"/"&amp;B1217</f>
        <v>/</v>
      </c>
      <c r="I1217" s="139" t="e">
        <f t="shared" si="209"/>
        <v>#NUM!</v>
      </c>
      <c r="J1217" s="139" t="e">
        <f t="shared" si="210"/>
        <v>#NUM!</v>
      </c>
      <c r="K1217" s="155">
        <f t="shared" si="213"/>
        <v>-1</v>
      </c>
      <c r="N1217" s="139">
        <f t="shared" si="211"/>
        <v>0</v>
      </c>
      <c r="O1217" s="139">
        <f t="shared" si="212"/>
        <v>1</v>
      </c>
      <c r="Q1217" s="186"/>
      <c r="R1217" s="186" t="s">
        <v>873</v>
      </c>
      <c r="S1217" s="139"/>
      <c r="V1217" s="139"/>
    </row>
    <row r="1218" spans="4:22">
      <c r="D1218" s="139"/>
      <c r="E1218" s="141" t="s">
        <v>1829</v>
      </c>
      <c r="F1218" s="141" t="s">
        <v>1756</v>
      </c>
      <c r="G1218" s="154" t="str">
        <f t="shared" si="214"/>
        <v>/</v>
      </c>
      <c r="H1218" s="141" t="str">
        <f t="shared" si="215"/>
        <v>/</v>
      </c>
      <c r="I1218" s="139" t="e">
        <f t="shared" si="209"/>
        <v>#NUM!</v>
      </c>
      <c r="J1218" s="139" t="e">
        <f t="shared" si="210"/>
        <v>#NUM!</v>
      </c>
      <c r="K1218" s="155">
        <f t="shared" si="213"/>
        <v>-1</v>
      </c>
      <c r="N1218" s="139">
        <f t="shared" si="211"/>
        <v>0</v>
      </c>
      <c r="O1218" s="139">
        <f t="shared" si="212"/>
        <v>1</v>
      </c>
      <c r="Q1218" s="186"/>
      <c r="R1218" s="186" t="s">
        <v>873</v>
      </c>
      <c r="S1218" s="139"/>
      <c r="V1218" s="139"/>
    </row>
    <row r="1219" spans="4:22">
      <c r="D1219" s="139"/>
      <c r="E1219" s="141" t="s">
        <v>1829</v>
      </c>
      <c r="F1219" s="141" t="s">
        <v>1756</v>
      </c>
      <c r="G1219" s="154" t="str">
        <f t="shared" si="214"/>
        <v>/</v>
      </c>
      <c r="H1219" s="141" t="str">
        <f t="shared" si="215"/>
        <v>/</v>
      </c>
      <c r="I1219" s="139" t="e">
        <f t="shared" si="209"/>
        <v>#NUM!</v>
      </c>
      <c r="J1219" s="139" t="e">
        <f t="shared" si="210"/>
        <v>#NUM!</v>
      </c>
      <c r="K1219" s="155">
        <f t="shared" si="213"/>
        <v>-1</v>
      </c>
      <c r="N1219" s="139">
        <f t="shared" si="211"/>
        <v>0</v>
      </c>
      <c r="O1219" s="139">
        <f t="shared" si="212"/>
        <v>1</v>
      </c>
      <c r="Q1219" s="186"/>
      <c r="R1219" s="186" t="s">
        <v>873</v>
      </c>
      <c r="S1219" s="139"/>
      <c r="V1219" s="139"/>
    </row>
    <row r="1220" spans="4:22">
      <c r="D1220" s="139"/>
      <c r="E1220" s="141" t="s">
        <v>1829</v>
      </c>
      <c r="F1220" s="141" t="s">
        <v>1756</v>
      </c>
      <c r="G1220" s="154" t="str">
        <f t="shared" si="214"/>
        <v>/</v>
      </c>
      <c r="H1220" s="141" t="str">
        <f t="shared" si="215"/>
        <v>/</v>
      </c>
      <c r="I1220" s="139" t="e">
        <f t="shared" si="209"/>
        <v>#NUM!</v>
      </c>
      <c r="J1220" s="139" t="e">
        <f t="shared" si="210"/>
        <v>#NUM!</v>
      </c>
      <c r="K1220" s="155">
        <f t="shared" si="213"/>
        <v>-1</v>
      </c>
      <c r="N1220" s="139">
        <f t="shared" si="211"/>
        <v>0</v>
      </c>
      <c r="O1220" s="139">
        <f t="shared" si="212"/>
        <v>1</v>
      </c>
      <c r="Q1220" s="186"/>
      <c r="R1220" s="186" t="s">
        <v>873</v>
      </c>
      <c r="S1220" s="139"/>
      <c r="V1220" s="139"/>
    </row>
    <row r="1221" spans="4:22">
      <c r="D1221" s="139"/>
      <c r="E1221" s="141" t="s">
        <v>1829</v>
      </c>
      <c r="F1221" s="141" t="s">
        <v>1756</v>
      </c>
      <c r="G1221" s="154" t="str">
        <f t="shared" si="214"/>
        <v>/</v>
      </c>
      <c r="H1221" s="141" t="str">
        <f t="shared" si="215"/>
        <v>/</v>
      </c>
      <c r="I1221" s="139" t="e">
        <f t="shared" si="209"/>
        <v>#NUM!</v>
      </c>
      <c r="J1221" s="139" t="e">
        <f t="shared" si="210"/>
        <v>#NUM!</v>
      </c>
      <c r="K1221" s="155">
        <f t="shared" si="213"/>
        <v>-1</v>
      </c>
      <c r="N1221" s="139">
        <f t="shared" si="211"/>
        <v>0</v>
      </c>
      <c r="O1221" s="139">
        <f t="shared" si="212"/>
        <v>1</v>
      </c>
      <c r="Q1221" s="186"/>
      <c r="R1221" s="186" t="s">
        <v>873</v>
      </c>
      <c r="S1221" s="139"/>
      <c r="V1221" s="139"/>
    </row>
    <row r="1222" spans="4:22">
      <c r="D1222" s="139"/>
      <c r="E1222" s="141" t="s">
        <v>1829</v>
      </c>
      <c r="F1222" s="141" t="s">
        <v>1756</v>
      </c>
      <c r="G1222" s="154" t="str">
        <f t="shared" si="214"/>
        <v>/</v>
      </c>
      <c r="H1222" s="141" t="str">
        <f t="shared" si="215"/>
        <v>/</v>
      </c>
      <c r="I1222" s="139" t="e">
        <f t="shared" si="209"/>
        <v>#NUM!</v>
      </c>
      <c r="J1222" s="139" t="e">
        <f t="shared" si="210"/>
        <v>#NUM!</v>
      </c>
      <c r="K1222" s="155">
        <f t="shared" si="213"/>
        <v>-1</v>
      </c>
      <c r="N1222" s="139">
        <f t="shared" si="211"/>
        <v>0</v>
      </c>
      <c r="O1222" s="139">
        <f t="shared" si="212"/>
        <v>1</v>
      </c>
      <c r="Q1222" s="186"/>
      <c r="R1222" s="186" t="s">
        <v>873</v>
      </c>
      <c r="S1222" s="139"/>
      <c r="V1222" s="139"/>
    </row>
    <row r="1223" spans="4:22">
      <c r="D1223" s="139"/>
      <c r="E1223" s="141" t="s">
        <v>1829</v>
      </c>
      <c r="F1223" s="141" t="s">
        <v>1756</v>
      </c>
      <c r="G1223" s="154" t="str">
        <f t="shared" si="214"/>
        <v>/</v>
      </c>
      <c r="H1223" s="141" t="str">
        <f t="shared" si="215"/>
        <v>/</v>
      </c>
      <c r="I1223" s="139" t="e">
        <f t="shared" si="209"/>
        <v>#NUM!</v>
      </c>
      <c r="J1223" s="139" t="e">
        <f t="shared" si="210"/>
        <v>#NUM!</v>
      </c>
      <c r="K1223" s="155">
        <f t="shared" si="213"/>
        <v>-1</v>
      </c>
      <c r="N1223" s="139">
        <f t="shared" si="211"/>
        <v>0</v>
      </c>
      <c r="O1223" s="139">
        <f t="shared" si="212"/>
        <v>1</v>
      </c>
      <c r="Q1223" s="186"/>
      <c r="R1223" s="186" t="s">
        <v>873</v>
      </c>
      <c r="S1223" s="139"/>
      <c r="V1223" s="139"/>
    </row>
    <row r="1224" spans="4:22">
      <c r="D1224" s="139"/>
      <c r="E1224" s="141" t="s">
        <v>1829</v>
      </c>
      <c r="F1224" s="141" t="s">
        <v>1756</v>
      </c>
      <c r="G1224" s="154" t="str">
        <f t="shared" si="214"/>
        <v>/</v>
      </c>
      <c r="H1224" s="141" t="str">
        <f t="shared" si="215"/>
        <v>/</v>
      </c>
      <c r="I1224" s="139" t="e">
        <f t="shared" si="209"/>
        <v>#NUM!</v>
      </c>
      <c r="J1224" s="139" t="e">
        <f t="shared" si="210"/>
        <v>#NUM!</v>
      </c>
      <c r="K1224" s="155">
        <f t="shared" si="213"/>
        <v>-1</v>
      </c>
      <c r="N1224" s="139">
        <f t="shared" si="211"/>
        <v>0</v>
      </c>
      <c r="O1224" s="139">
        <f t="shared" si="212"/>
        <v>1</v>
      </c>
      <c r="Q1224" s="186"/>
      <c r="R1224" s="186" t="s">
        <v>873</v>
      </c>
      <c r="S1224" s="139"/>
      <c r="V1224" s="139"/>
    </row>
    <row r="1225" spans="4:22">
      <c r="D1225" s="139"/>
      <c r="E1225" s="141" t="s">
        <v>1829</v>
      </c>
      <c r="F1225" s="141" t="s">
        <v>1756</v>
      </c>
      <c r="G1225" s="154" t="str">
        <f t="shared" si="214"/>
        <v>/</v>
      </c>
      <c r="H1225" s="141" t="str">
        <f t="shared" si="215"/>
        <v>/</v>
      </c>
      <c r="I1225" s="139" t="e">
        <f t="shared" si="209"/>
        <v>#NUM!</v>
      </c>
      <c r="J1225" s="139" t="e">
        <f t="shared" si="210"/>
        <v>#NUM!</v>
      </c>
      <c r="K1225" s="155">
        <f t="shared" si="213"/>
        <v>-1</v>
      </c>
      <c r="N1225" s="139">
        <f t="shared" si="211"/>
        <v>0</v>
      </c>
      <c r="O1225" s="139">
        <f t="shared" si="212"/>
        <v>1</v>
      </c>
      <c r="Q1225" s="186"/>
      <c r="R1225" s="186" t="s">
        <v>873</v>
      </c>
      <c r="S1225" s="139"/>
      <c r="V1225" s="139"/>
    </row>
    <row r="1226" spans="4:22">
      <c r="D1226" s="139"/>
      <c r="E1226" s="141" t="s">
        <v>1829</v>
      </c>
      <c r="F1226" s="141" t="s">
        <v>1756</v>
      </c>
      <c r="G1226" s="154" t="str">
        <f t="shared" si="214"/>
        <v>/</v>
      </c>
      <c r="H1226" s="141" t="str">
        <f t="shared" si="215"/>
        <v>/</v>
      </c>
      <c r="I1226" s="139" t="e">
        <f t="shared" si="209"/>
        <v>#NUM!</v>
      </c>
      <c r="J1226" s="139" t="e">
        <f t="shared" si="210"/>
        <v>#NUM!</v>
      </c>
      <c r="K1226" s="155">
        <f t="shared" si="213"/>
        <v>-1</v>
      </c>
      <c r="N1226" s="139">
        <f t="shared" si="211"/>
        <v>0</v>
      </c>
      <c r="O1226" s="139">
        <f t="shared" si="212"/>
        <v>1</v>
      </c>
      <c r="Q1226" s="186"/>
      <c r="R1226" s="186" t="s">
        <v>873</v>
      </c>
      <c r="S1226" s="139"/>
      <c r="V1226" s="139"/>
    </row>
    <row r="1227" spans="4:22">
      <c r="D1227" s="139"/>
      <c r="E1227" s="141" t="s">
        <v>1829</v>
      </c>
      <c r="F1227" s="141" t="s">
        <v>1756</v>
      </c>
      <c r="G1227" s="154" t="str">
        <f t="shared" si="214"/>
        <v>/</v>
      </c>
      <c r="H1227" s="141" t="str">
        <f t="shared" si="215"/>
        <v>/</v>
      </c>
      <c r="I1227" s="139" t="e">
        <f t="shared" si="209"/>
        <v>#NUM!</v>
      </c>
      <c r="J1227" s="139" t="e">
        <f t="shared" si="210"/>
        <v>#NUM!</v>
      </c>
      <c r="K1227" s="155">
        <f t="shared" si="213"/>
        <v>-1</v>
      </c>
      <c r="N1227" s="139">
        <f t="shared" si="211"/>
        <v>0</v>
      </c>
      <c r="O1227" s="139">
        <f t="shared" si="212"/>
        <v>1</v>
      </c>
      <c r="Q1227" s="186"/>
      <c r="R1227" s="186" t="s">
        <v>873</v>
      </c>
      <c r="S1227" s="139"/>
      <c r="V1227" s="139"/>
    </row>
    <row r="1228" spans="4:22">
      <c r="D1228" s="139"/>
      <c r="E1228" s="141" t="s">
        <v>1829</v>
      </c>
      <c r="F1228" s="141" t="s">
        <v>1756</v>
      </c>
      <c r="G1228" s="154" t="str">
        <f t="shared" si="214"/>
        <v>/</v>
      </c>
      <c r="H1228" s="141" t="str">
        <f t="shared" si="215"/>
        <v>/</v>
      </c>
      <c r="I1228" s="139" t="e">
        <f t="shared" si="209"/>
        <v>#NUM!</v>
      </c>
      <c r="J1228" s="139" t="e">
        <f t="shared" si="210"/>
        <v>#NUM!</v>
      </c>
      <c r="K1228" s="155">
        <f t="shared" si="213"/>
        <v>-1</v>
      </c>
      <c r="N1228" s="139">
        <f t="shared" si="211"/>
        <v>0</v>
      </c>
      <c r="O1228" s="139">
        <f t="shared" si="212"/>
        <v>1</v>
      </c>
      <c r="Q1228" s="186"/>
      <c r="R1228" s="186" t="s">
        <v>873</v>
      </c>
      <c r="S1228" s="139"/>
      <c r="V1228" s="139"/>
    </row>
    <row r="1229" spans="4:22">
      <c r="D1229" s="139"/>
      <c r="E1229" s="141" t="s">
        <v>1829</v>
      </c>
      <c r="F1229" s="141" t="s">
        <v>1756</v>
      </c>
      <c r="G1229" s="154" t="str">
        <f t="shared" si="214"/>
        <v>/</v>
      </c>
      <c r="H1229" s="141" t="str">
        <f t="shared" si="215"/>
        <v>/</v>
      </c>
      <c r="I1229" s="139" t="e">
        <f t="shared" si="209"/>
        <v>#NUM!</v>
      </c>
      <c r="J1229" s="139" t="e">
        <f t="shared" si="210"/>
        <v>#NUM!</v>
      </c>
      <c r="K1229" s="155">
        <f t="shared" si="213"/>
        <v>-1</v>
      </c>
      <c r="N1229" s="139">
        <f t="shared" si="211"/>
        <v>0</v>
      </c>
      <c r="O1229" s="139">
        <f t="shared" si="212"/>
        <v>1</v>
      </c>
      <c r="Q1229" s="186"/>
      <c r="R1229" s="186" t="s">
        <v>873</v>
      </c>
      <c r="S1229" s="139"/>
      <c r="V1229" s="139"/>
    </row>
    <row r="1230" spans="4:22">
      <c r="D1230" s="139"/>
      <c r="E1230" s="141" t="s">
        <v>1829</v>
      </c>
      <c r="F1230" s="141" t="s">
        <v>1756</v>
      </c>
      <c r="G1230" s="154" t="str">
        <f t="shared" si="214"/>
        <v>/</v>
      </c>
      <c r="H1230" s="141" t="str">
        <f t="shared" si="215"/>
        <v>/</v>
      </c>
      <c r="I1230" s="139" t="e">
        <f t="shared" si="209"/>
        <v>#NUM!</v>
      </c>
      <c r="J1230" s="139" t="e">
        <f t="shared" si="210"/>
        <v>#NUM!</v>
      </c>
      <c r="K1230" s="155">
        <f t="shared" si="213"/>
        <v>-1</v>
      </c>
      <c r="N1230" s="139">
        <f t="shared" si="211"/>
        <v>0</v>
      </c>
      <c r="O1230" s="139">
        <f t="shared" si="212"/>
        <v>1</v>
      </c>
      <c r="Q1230" s="186"/>
      <c r="R1230" s="186" t="s">
        <v>873</v>
      </c>
      <c r="S1230" s="139"/>
      <c r="V1230" s="139"/>
    </row>
    <row r="1231" spans="4:22">
      <c r="D1231" s="139"/>
      <c r="E1231" s="141" t="s">
        <v>1829</v>
      </c>
      <c r="F1231" s="141" t="s">
        <v>1756</v>
      </c>
      <c r="G1231" s="154" t="str">
        <f t="shared" si="214"/>
        <v>/</v>
      </c>
      <c r="H1231" s="141" t="str">
        <f t="shared" si="215"/>
        <v>/</v>
      </c>
      <c r="I1231" s="139" t="e">
        <f t="shared" si="209"/>
        <v>#NUM!</v>
      </c>
      <c r="J1231" s="139" t="e">
        <f t="shared" si="210"/>
        <v>#NUM!</v>
      </c>
      <c r="K1231" s="155">
        <f t="shared" si="213"/>
        <v>-1</v>
      </c>
      <c r="N1231" s="139">
        <f t="shared" si="211"/>
        <v>0</v>
      </c>
      <c r="O1231" s="139">
        <f t="shared" si="212"/>
        <v>1</v>
      </c>
      <c r="Q1231" s="186"/>
      <c r="R1231" s="186" t="s">
        <v>873</v>
      </c>
      <c r="S1231" s="139"/>
      <c r="V1231" s="139"/>
    </row>
    <row r="1232" spans="4:22">
      <c r="D1232" s="139"/>
      <c r="E1232" s="141" t="s">
        <v>1829</v>
      </c>
      <c r="F1232" s="141" t="s">
        <v>1756</v>
      </c>
      <c r="G1232" s="154" t="str">
        <f t="shared" si="214"/>
        <v>/</v>
      </c>
      <c r="H1232" s="141" t="str">
        <f t="shared" si="215"/>
        <v>/</v>
      </c>
      <c r="I1232" s="139" t="e">
        <f t="shared" si="209"/>
        <v>#NUM!</v>
      </c>
      <c r="J1232" s="139" t="e">
        <f t="shared" si="210"/>
        <v>#NUM!</v>
      </c>
      <c r="K1232" s="155">
        <f t="shared" si="213"/>
        <v>-1</v>
      </c>
      <c r="N1232" s="139">
        <f t="shared" si="211"/>
        <v>0</v>
      </c>
      <c r="O1232" s="139">
        <f t="shared" si="212"/>
        <v>1</v>
      </c>
      <c r="Q1232" s="186"/>
      <c r="R1232" s="186" t="s">
        <v>873</v>
      </c>
      <c r="S1232" s="139"/>
      <c r="V1232" s="139"/>
    </row>
    <row r="1233" spans="4:22">
      <c r="D1233" s="139"/>
      <c r="E1233" s="141" t="s">
        <v>1829</v>
      </c>
      <c r="F1233" s="141" t="s">
        <v>1756</v>
      </c>
      <c r="G1233" s="154" t="str">
        <f t="shared" si="214"/>
        <v>/</v>
      </c>
      <c r="H1233" s="141" t="str">
        <f t="shared" si="215"/>
        <v>/</v>
      </c>
      <c r="I1233" s="139" t="e">
        <f t="shared" si="209"/>
        <v>#NUM!</v>
      </c>
      <c r="J1233" s="139" t="e">
        <f t="shared" si="210"/>
        <v>#NUM!</v>
      </c>
      <c r="K1233" s="155">
        <f t="shared" si="213"/>
        <v>-1</v>
      </c>
      <c r="N1233" s="139">
        <f t="shared" si="211"/>
        <v>0</v>
      </c>
      <c r="O1233" s="139">
        <f t="shared" si="212"/>
        <v>1</v>
      </c>
      <c r="Q1233" s="186"/>
      <c r="R1233" s="186" t="s">
        <v>873</v>
      </c>
      <c r="S1233" s="139"/>
      <c r="V1233" s="139"/>
    </row>
    <row r="1234" spans="4:22">
      <c r="D1234" s="139"/>
      <c r="E1234" s="141" t="s">
        <v>1829</v>
      </c>
      <c r="F1234" s="141" t="s">
        <v>1756</v>
      </c>
      <c r="G1234" s="154" t="str">
        <f t="shared" si="214"/>
        <v>/</v>
      </c>
      <c r="H1234" s="141" t="str">
        <f t="shared" si="215"/>
        <v>/</v>
      </c>
      <c r="I1234" s="139" t="e">
        <f t="shared" si="209"/>
        <v>#NUM!</v>
      </c>
      <c r="J1234" s="139" t="e">
        <f t="shared" si="210"/>
        <v>#NUM!</v>
      </c>
      <c r="K1234" s="155">
        <f t="shared" si="213"/>
        <v>-1</v>
      </c>
      <c r="N1234" s="139">
        <f t="shared" si="211"/>
        <v>0</v>
      </c>
      <c r="O1234" s="139">
        <f t="shared" si="212"/>
        <v>1</v>
      </c>
      <c r="Q1234" s="186"/>
      <c r="R1234" s="186" t="s">
        <v>873</v>
      </c>
      <c r="S1234" s="139"/>
      <c r="V1234" s="139"/>
    </row>
    <row r="1235" spans="4:22">
      <c r="D1235" s="139"/>
      <c r="E1235" s="141" t="s">
        <v>1829</v>
      </c>
      <c r="F1235" s="141" t="s">
        <v>1756</v>
      </c>
      <c r="G1235" s="154" t="str">
        <f t="shared" si="214"/>
        <v>/</v>
      </c>
      <c r="H1235" s="141" t="str">
        <f t="shared" si="215"/>
        <v>/</v>
      </c>
      <c r="I1235" s="139" t="e">
        <f t="shared" si="209"/>
        <v>#NUM!</v>
      </c>
      <c r="J1235" s="139" t="e">
        <f t="shared" si="210"/>
        <v>#NUM!</v>
      </c>
      <c r="K1235" s="155">
        <f t="shared" si="213"/>
        <v>-1</v>
      </c>
      <c r="N1235" s="139">
        <f t="shared" si="211"/>
        <v>0</v>
      </c>
      <c r="O1235" s="139">
        <f t="shared" si="212"/>
        <v>1</v>
      </c>
      <c r="Q1235" s="186"/>
      <c r="R1235" s="186" t="s">
        <v>873</v>
      </c>
      <c r="S1235" s="139"/>
      <c r="V1235" s="139"/>
    </row>
    <row r="1236" spans="4:22">
      <c r="D1236" s="139"/>
      <c r="E1236" s="141" t="s">
        <v>1829</v>
      </c>
      <c r="F1236" s="141" t="s">
        <v>1756</v>
      </c>
      <c r="G1236" s="154" t="str">
        <f t="shared" si="214"/>
        <v>/</v>
      </c>
      <c r="H1236" s="141" t="str">
        <f t="shared" si="215"/>
        <v>/</v>
      </c>
      <c r="I1236" s="139" t="e">
        <f t="shared" si="209"/>
        <v>#NUM!</v>
      </c>
      <c r="J1236" s="139" t="e">
        <f t="shared" si="210"/>
        <v>#NUM!</v>
      </c>
      <c r="K1236" s="155">
        <f t="shared" si="213"/>
        <v>-1</v>
      </c>
      <c r="N1236" s="139">
        <f t="shared" si="211"/>
        <v>0</v>
      </c>
      <c r="O1236" s="139">
        <f t="shared" si="212"/>
        <v>1</v>
      </c>
      <c r="Q1236" s="186"/>
      <c r="R1236" s="186" t="s">
        <v>873</v>
      </c>
      <c r="S1236" s="139"/>
      <c r="V1236" s="139"/>
    </row>
    <row r="1237" spans="4:22">
      <c r="D1237" s="139"/>
      <c r="E1237" s="141" t="s">
        <v>1829</v>
      </c>
      <c r="F1237" s="141" t="s">
        <v>1756</v>
      </c>
      <c r="G1237" s="154" t="str">
        <f t="shared" si="214"/>
        <v>/</v>
      </c>
      <c r="H1237" s="141" t="str">
        <f t="shared" si="215"/>
        <v>/</v>
      </c>
      <c r="I1237" s="139" t="e">
        <f t="shared" si="209"/>
        <v>#NUM!</v>
      </c>
      <c r="J1237" s="139" t="e">
        <f t="shared" si="210"/>
        <v>#NUM!</v>
      </c>
      <c r="K1237" s="155">
        <f t="shared" si="213"/>
        <v>-1</v>
      </c>
      <c r="N1237" s="139">
        <f t="shared" si="211"/>
        <v>0</v>
      </c>
      <c r="O1237" s="139">
        <f t="shared" si="212"/>
        <v>1</v>
      </c>
      <c r="Q1237" s="186"/>
      <c r="R1237" s="186" t="s">
        <v>873</v>
      </c>
      <c r="S1237" s="139"/>
      <c r="V1237" s="139"/>
    </row>
    <row r="1238" spans="4:22">
      <c r="D1238" s="139"/>
      <c r="E1238" s="141" t="s">
        <v>1829</v>
      </c>
      <c r="F1238" s="141" t="s">
        <v>1756</v>
      </c>
      <c r="G1238" s="154" t="str">
        <f t="shared" si="214"/>
        <v>/</v>
      </c>
      <c r="H1238" s="141" t="str">
        <f t="shared" si="215"/>
        <v>/</v>
      </c>
      <c r="I1238" s="139" t="e">
        <f t="shared" si="209"/>
        <v>#NUM!</v>
      </c>
      <c r="J1238" s="139" t="e">
        <f t="shared" si="210"/>
        <v>#NUM!</v>
      </c>
      <c r="K1238" s="155">
        <f t="shared" si="213"/>
        <v>-1</v>
      </c>
      <c r="N1238" s="139">
        <f t="shared" si="211"/>
        <v>0</v>
      </c>
      <c r="O1238" s="139">
        <f t="shared" si="212"/>
        <v>1</v>
      </c>
      <c r="Q1238" s="186"/>
      <c r="R1238" s="186" t="s">
        <v>873</v>
      </c>
      <c r="S1238" s="139"/>
      <c r="V1238" s="139"/>
    </row>
    <row r="1239" spans="4:22">
      <c r="D1239" s="139"/>
      <c r="E1239" s="141" t="s">
        <v>1829</v>
      </c>
      <c r="F1239" s="141" t="s">
        <v>1756</v>
      </c>
      <c r="G1239" s="154" t="str">
        <f t="shared" si="214"/>
        <v>/</v>
      </c>
      <c r="H1239" s="141" t="str">
        <f t="shared" si="215"/>
        <v>/</v>
      </c>
      <c r="I1239" s="139" t="e">
        <f t="shared" si="209"/>
        <v>#NUM!</v>
      </c>
      <c r="J1239" s="139" t="e">
        <f t="shared" si="210"/>
        <v>#NUM!</v>
      </c>
      <c r="K1239" s="155">
        <f t="shared" si="213"/>
        <v>-1</v>
      </c>
      <c r="N1239" s="139">
        <f t="shared" si="211"/>
        <v>0</v>
      </c>
      <c r="O1239" s="139">
        <f t="shared" si="212"/>
        <v>1</v>
      </c>
      <c r="Q1239" s="186"/>
      <c r="R1239" s="186" t="s">
        <v>873</v>
      </c>
      <c r="S1239" s="139"/>
      <c r="V1239" s="139"/>
    </row>
    <row r="1240" spans="4:22">
      <c r="D1240" s="139"/>
      <c r="E1240" s="141" t="s">
        <v>1829</v>
      </c>
      <c r="F1240" s="141" t="s">
        <v>1756</v>
      </c>
      <c r="G1240" s="154" t="str">
        <f t="shared" si="214"/>
        <v>/</v>
      </c>
      <c r="H1240" s="141" t="str">
        <f t="shared" si="215"/>
        <v>/</v>
      </c>
      <c r="I1240" s="139" t="e">
        <f t="shared" si="209"/>
        <v>#NUM!</v>
      </c>
      <c r="J1240" s="139" t="e">
        <f t="shared" si="210"/>
        <v>#NUM!</v>
      </c>
      <c r="K1240" s="155">
        <f t="shared" si="213"/>
        <v>-1</v>
      </c>
      <c r="N1240" s="139">
        <f t="shared" si="211"/>
        <v>0</v>
      </c>
      <c r="O1240" s="139">
        <f t="shared" si="212"/>
        <v>1</v>
      </c>
      <c r="Q1240" s="186"/>
      <c r="R1240" s="186" t="s">
        <v>873</v>
      </c>
      <c r="S1240" s="139"/>
      <c r="V1240" s="139"/>
    </row>
    <row r="1241" spans="4:22">
      <c r="D1241" s="139"/>
      <c r="E1241" s="141" t="s">
        <v>1829</v>
      </c>
      <c r="F1241" s="141" t="s">
        <v>1756</v>
      </c>
      <c r="G1241" s="154" t="str">
        <f t="shared" si="214"/>
        <v>/</v>
      </c>
      <c r="H1241" s="141" t="str">
        <f t="shared" si="215"/>
        <v>/</v>
      </c>
      <c r="I1241" s="139" t="e">
        <f t="shared" si="209"/>
        <v>#NUM!</v>
      </c>
      <c r="J1241" s="139" t="e">
        <f t="shared" si="210"/>
        <v>#NUM!</v>
      </c>
      <c r="K1241" s="155">
        <f t="shared" si="213"/>
        <v>-1</v>
      </c>
      <c r="N1241" s="139">
        <f t="shared" si="211"/>
        <v>0</v>
      </c>
      <c r="O1241" s="139">
        <f t="shared" si="212"/>
        <v>1</v>
      </c>
      <c r="Q1241" s="186"/>
      <c r="R1241" s="186" t="s">
        <v>873</v>
      </c>
      <c r="S1241" s="139"/>
      <c r="V1241" s="139"/>
    </row>
    <row r="1242" spans="4:22">
      <c r="D1242" s="139"/>
      <c r="E1242" s="141" t="s">
        <v>1829</v>
      </c>
      <c r="F1242" s="141" t="s">
        <v>1756</v>
      </c>
      <c r="G1242" s="154" t="str">
        <f t="shared" si="214"/>
        <v>/</v>
      </c>
      <c r="H1242" s="141" t="str">
        <f t="shared" si="215"/>
        <v>/</v>
      </c>
      <c r="I1242" s="139" t="e">
        <f t="shared" si="209"/>
        <v>#NUM!</v>
      </c>
      <c r="J1242" s="139" t="e">
        <f t="shared" si="210"/>
        <v>#NUM!</v>
      </c>
      <c r="K1242" s="155">
        <f t="shared" si="213"/>
        <v>-1</v>
      </c>
      <c r="N1242" s="139">
        <f t="shared" si="211"/>
        <v>0</v>
      </c>
      <c r="O1242" s="139">
        <f t="shared" si="212"/>
        <v>1</v>
      </c>
      <c r="Q1242" s="186"/>
      <c r="R1242" s="186" t="s">
        <v>873</v>
      </c>
      <c r="S1242" s="139"/>
      <c r="V1242" s="139"/>
    </row>
    <row r="1243" spans="4:22">
      <c r="D1243" s="139"/>
      <c r="E1243" s="141" t="s">
        <v>1829</v>
      </c>
      <c r="F1243" s="141" t="s">
        <v>1756</v>
      </c>
      <c r="G1243" s="154" t="str">
        <f t="shared" si="214"/>
        <v>/</v>
      </c>
      <c r="H1243" s="141" t="str">
        <f t="shared" si="215"/>
        <v>/</v>
      </c>
      <c r="I1243" s="139" t="e">
        <f t="shared" si="209"/>
        <v>#NUM!</v>
      </c>
      <c r="J1243" s="139" t="e">
        <f t="shared" si="210"/>
        <v>#NUM!</v>
      </c>
      <c r="K1243" s="155">
        <f t="shared" si="213"/>
        <v>-1</v>
      </c>
      <c r="N1243" s="139">
        <f t="shared" si="211"/>
        <v>0</v>
      </c>
      <c r="O1243" s="139">
        <f t="shared" si="212"/>
        <v>1</v>
      </c>
      <c r="Q1243" s="186"/>
      <c r="R1243" s="186" t="s">
        <v>873</v>
      </c>
      <c r="S1243" s="139"/>
      <c r="V1243" s="139"/>
    </row>
    <row r="1244" spans="4:22">
      <c r="D1244" s="139"/>
      <c r="E1244" s="141" t="s">
        <v>1829</v>
      </c>
      <c r="F1244" s="141" t="s">
        <v>1756</v>
      </c>
      <c r="G1244" s="154" t="str">
        <f t="shared" si="214"/>
        <v>/</v>
      </c>
      <c r="H1244" s="141" t="str">
        <f t="shared" si="215"/>
        <v>/</v>
      </c>
      <c r="I1244" s="139" t="e">
        <f t="shared" si="209"/>
        <v>#NUM!</v>
      </c>
      <c r="J1244" s="139" t="e">
        <f t="shared" si="210"/>
        <v>#NUM!</v>
      </c>
      <c r="K1244" s="155">
        <f t="shared" si="213"/>
        <v>-1</v>
      </c>
      <c r="N1244" s="139">
        <f t="shared" si="211"/>
        <v>0</v>
      </c>
      <c r="O1244" s="139">
        <f t="shared" si="212"/>
        <v>1</v>
      </c>
      <c r="Q1244" s="186"/>
      <c r="R1244" s="186" t="s">
        <v>873</v>
      </c>
      <c r="S1244" s="139"/>
      <c r="V1244" s="139"/>
    </row>
    <row r="1245" spans="4:22">
      <c r="D1245" s="139"/>
      <c r="E1245" s="141" t="s">
        <v>1829</v>
      </c>
      <c r="F1245" s="141" t="s">
        <v>1756</v>
      </c>
      <c r="G1245" s="154" t="str">
        <f t="shared" si="214"/>
        <v>/</v>
      </c>
      <c r="H1245" s="141" t="str">
        <f t="shared" si="215"/>
        <v>/</v>
      </c>
      <c r="I1245" s="139" t="e">
        <f t="shared" si="209"/>
        <v>#NUM!</v>
      </c>
      <c r="J1245" s="139" t="e">
        <f t="shared" si="210"/>
        <v>#NUM!</v>
      </c>
      <c r="K1245" s="155">
        <f t="shared" si="213"/>
        <v>-1</v>
      </c>
      <c r="N1245" s="139">
        <f t="shared" si="211"/>
        <v>0</v>
      </c>
      <c r="O1245" s="139">
        <f t="shared" si="212"/>
        <v>1</v>
      </c>
      <c r="Q1245" s="186"/>
      <c r="R1245" s="186" t="s">
        <v>873</v>
      </c>
      <c r="S1245" s="139"/>
      <c r="V1245" s="139"/>
    </row>
    <row r="1246" spans="4:22">
      <c r="D1246" s="139"/>
      <c r="E1246" s="141" t="s">
        <v>1829</v>
      </c>
      <c r="F1246" s="141" t="s">
        <v>1756</v>
      </c>
      <c r="G1246" s="154" t="str">
        <f t="shared" si="214"/>
        <v>/</v>
      </c>
      <c r="H1246" s="141" t="str">
        <f t="shared" si="215"/>
        <v>/</v>
      </c>
      <c r="I1246" s="139" t="e">
        <f t="shared" si="209"/>
        <v>#NUM!</v>
      </c>
      <c r="J1246" s="139" t="e">
        <f t="shared" si="210"/>
        <v>#NUM!</v>
      </c>
      <c r="K1246" s="155">
        <f t="shared" si="213"/>
        <v>-1</v>
      </c>
      <c r="N1246" s="139">
        <f t="shared" si="211"/>
        <v>0</v>
      </c>
      <c r="O1246" s="139">
        <f t="shared" si="212"/>
        <v>1</v>
      </c>
      <c r="Q1246" s="186"/>
      <c r="R1246" s="186" t="s">
        <v>873</v>
      </c>
      <c r="S1246" s="139"/>
      <c r="V1246" s="139"/>
    </row>
    <row r="1247" spans="4:22">
      <c r="D1247" s="139"/>
      <c r="E1247" s="141" t="s">
        <v>1829</v>
      </c>
      <c r="F1247" s="141" t="s">
        <v>1756</v>
      </c>
      <c r="G1247" s="154" t="str">
        <f t="shared" si="214"/>
        <v>/</v>
      </c>
      <c r="H1247" s="141" t="str">
        <f t="shared" si="215"/>
        <v>/</v>
      </c>
      <c r="I1247" s="139" t="e">
        <f t="shared" si="209"/>
        <v>#NUM!</v>
      </c>
      <c r="J1247" s="139" t="e">
        <f t="shared" si="210"/>
        <v>#NUM!</v>
      </c>
      <c r="K1247" s="155">
        <f t="shared" si="213"/>
        <v>-1</v>
      </c>
      <c r="N1247" s="139">
        <f t="shared" si="211"/>
        <v>0</v>
      </c>
      <c r="O1247" s="139">
        <f t="shared" si="212"/>
        <v>1</v>
      </c>
      <c r="Q1247" s="186"/>
      <c r="R1247" s="186" t="s">
        <v>873</v>
      </c>
      <c r="S1247" s="139"/>
      <c r="V1247" s="139"/>
    </row>
    <row r="1248" spans="4:22">
      <c r="D1248" s="139"/>
      <c r="E1248" s="141" t="s">
        <v>1829</v>
      </c>
      <c r="F1248" s="141" t="s">
        <v>1756</v>
      </c>
      <c r="G1248" s="154" t="str">
        <f t="shared" si="214"/>
        <v>/</v>
      </c>
      <c r="H1248" s="141" t="str">
        <f t="shared" si="215"/>
        <v>/</v>
      </c>
      <c r="I1248" s="139" t="e">
        <f t="shared" si="209"/>
        <v>#NUM!</v>
      </c>
      <c r="J1248" s="139" t="e">
        <f t="shared" si="210"/>
        <v>#NUM!</v>
      </c>
      <c r="K1248" s="155">
        <f t="shared" si="213"/>
        <v>-1</v>
      </c>
      <c r="N1248" s="139">
        <f t="shared" si="211"/>
        <v>0</v>
      </c>
      <c r="O1248" s="139">
        <f t="shared" si="212"/>
        <v>1</v>
      </c>
      <c r="Q1248" s="186"/>
      <c r="R1248" s="186" t="s">
        <v>873</v>
      </c>
      <c r="S1248" s="139"/>
      <c r="V1248" s="139"/>
    </row>
    <row r="1249" spans="4:22">
      <c r="D1249" s="139"/>
      <c r="E1249" s="141" t="s">
        <v>1829</v>
      </c>
      <c r="F1249" s="141" t="s">
        <v>1756</v>
      </c>
      <c r="G1249" s="154" t="str">
        <f t="shared" si="214"/>
        <v>/</v>
      </c>
      <c r="H1249" s="141" t="str">
        <f t="shared" si="215"/>
        <v>/</v>
      </c>
      <c r="I1249" s="139" t="e">
        <f t="shared" si="209"/>
        <v>#NUM!</v>
      </c>
      <c r="J1249" s="139" t="e">
        <f t="shared" si="210"/>
        <v>#NUM!</v>
      </c>
      <c r="K1249" s="155">
        <f t="shared" si="213"/>
        <v>-1</v>
      </c>
      <c r="N1249" s="139">
        <f t="shared" si="211"/>
        <v>0</v>
      </c>
      <c r="O1249" s="139">
        <f t="shared" si="212"/>
        <v>1</v>
      </c>
      <c r="Q1249" s="186"/>
      <c r="R1249" s="186" t="s">
        <v>873</v>
      </c>
      <c r="S1249" s="139"/>
      <c r="V1249" s="139"/>
    </row>
    <row r="1250" spans="4:22">
      <c r="D1250" s="139"/>
      <c r="E1250" s="141" t="s">
        <v>1829</v>
      </c>
      <c r="F1250" s="141" t="s">
        <v>1756</v>
      </c>
      <c r="G1250" s="154" t="str">
        <f t="shared" si="214"/>
        <v>/</v>
      </c>
      <c r="H1250" s="141" t="str">
        <f t="shared" si="215"/>
        <v>/</v>
      </c>
      <c r="I1250" s="139" t="e">
        <f t="shared" si="209"/>
        <v>#NUM!</v>
      </c>
      <c r="J1250" s="139" t="e">
        <f t="shared" si="210"/>
        <v>#NUM!</v>
      </c>
      <c r="K1250" s="155">
        <f t="shared" si="213"/>
        <v>-1</v>
      </c>
      <c r="N1250" s="139">
        <f t="shared" si="211"/>
        <v>0</v>
      </c>
      <c r="O1250" s="139">
        <f t="shared" si="212"/>
        <v>1</v>
      </c>
      <c r="Q1250" s="186"/>
      <c r="R1250" s="186" t="s">
        <v>873</v>
      </c>
      <c r="S1250" s="139"/>
      <c r="V1250" s="139"/>
    </row>
    <row r="1251" spans="4:22">
      <c r="D1251" s="139"/>
      <c r="E1251" s="141" t="s">
        <v>1829</v>
      </c>
      <c r="F1251" s="141" t="s">
        <v>1756</v>
      </c>
      <c r="G1251" s="154" t="str">
        <f t="shared" si="214"/>
        <v>/</v>
      </c>
      <c r="H1251" s="141" t="str">
        <f t="shared" si="215"/>
        <v>/</v>
      </c>
      <c r="I1251" s="139" t="e">
        <f t="shared" si="209"/>
        <v>#NUM!</v>
      </c>
      <c r="J1251" s="139" t="e">
        <f t="shared" si="210"/>
        <v>#NUM!</v>
      </c>
      <c r="K1251" s="155">
        <f t="shared" si="213"/>
        <v>-1</v>
      </c>
      <c r="N1251" s="139">
        <f t="shared" si="211"/>
        <v>0</v>
      </c>
      <c r="O1251" s="139">
        <f t="shared" si="212"/>
        <v>1</v>
      </c>
      <c r="Q1251" s="186"/>
      <c r="R1251" s="186" t="s">
        <v>873</v>
      </c>
      <c r="S1251" s="139"/>
      <c r="V1251" s="139"/>
    </row>
    <row r="1252" spans="4:22">
      <c r="D1252" s="139"/>
      <c r="E1252" s="141" t="s">
        <v>1829</v>
      </c>
      <c r="F1252" s="141" t="s">
        <v>1756</v>
      </c>
      <c r="G1252" s="154" t="str">
        <f t="shared" si="214"/>
        <v>/</v>
      </c>
      <c r="H1252" s="141" t="str">
        <f t="shared" si="215"/>
        <v>/</v>
      </c>
      <c r="I1252" s="139" t="e">
        <f t="shared" si="209"/>
        <v>#NUM!</v>
      </c>
      <c r="J1252" s="139" t="e">
        <f t="shared" si="210"/>
        <v>#NUM!</v>
      </c>
      <c r="K1252" s="155">
        <f t="shared" si="213"/>
        <v>-1</v>
      </c>
      <c r="N1252" s="139">
        <f t="shared" si="211"/>
        <v>0</v>
      </c>
      <c r="O1252" s="139">
        <f t="shared" si="212"/>
        <v>1</v>
      </c>
      <c r="Q1252" s="186"/>
      <c r="R1252" s="186" t="s">
        <v>873</v>
      </c>
      <c r="S1252" s="139"/>
      <c r="V1252" s="139"/>
    </row>
    <row r="1253" spans="4:22">
      <c r="D1253" s="139"/>
      <c r="E1253" s="141" t="s">
        <v>1829</v>
      </c>
      <c r="F1253" s="141" t="s">
        <v>1756</v>
      </c>
      <c r="G1253" s="154" t="str">
        <f t="shared" si="214"/>
        <v>/</v>
      </c>
      <c r="H1253" s="141" t="str">
        <f t="shared" si="215"/>
        <v>/</v>
      </c>
      <c r="I1253" s="139" t="e">
        <f t="shared" si="209"/>
        <v>#NUM!</v>
      </c>
      <c r="J1253" s="139" t="e">
        <f t="shared" si="210"/>
        <v>#NUM!</v>
      </c>
      <c r="K1253" s="155">
        <f t="shared" si="213"/>
        <v>-1</v>
      </c>
      <c r="N1253" s="139">
        <f t="shared" si="211"/>
        <v>0</v>
      </c>
      <c r="O1253" s="139">
        <f t="shared" si="212"/>
        <v>1</v>
      </c>
      <c r="Q1253" s="186"/>
      <c r="R1253" s="186" t="s">
        <v>873</v>
      </c>
      <c r="S1253" s="139"/>
      <c r="V1253" s="139"/>
    </row>
    <row r="1254" spans="4:22">
      <c r="D1254" s="139"/>
      <c r="E1254" s="141" t="s">
        <v>1829</v>
      </c>
      <c r="F1254" s="141" t="s">
        <v>1756</v>
      </c>
      <c r="G1254" s="154" t="str">
        <f t="shared" si="214"/>
        <v>/</v>
      </c>
      <c r="H1254" s="141" t="str">
        <f t="shared" si="215"/>
        <v>/</v>
      </c>
      <c r="I1254" s="139" t="e">
        <f t="shared" si="209"/>
        <v>#NUM!</v>
      </c>
      <c r="J1254" s="139" t="e">
        <f t="shared" si="210"/>
        <v>#NUM!</v>
      </c>
      <c r="K1254" s="155">
        <f t="shared" si="213"/>
        <v>-1</v>
      </c>
      <c r="N1254" s="139">
        <f t="shared" si="211"/>
        <v>0</v>
      </c>
      <c r="O1254" s="139">
        <f t="shared" si="212"/>
        <v>1</v>
      </c>
      <c r="Q1254" s="186"/>
      <c r="R1254" s="186" t="s">
        <v>873</v>
      </c>
      <c r="S1254" s="139"/>
      <c r="V1254" s="139"/>
    </row>
    <row r="1255" spans="4:22">
      <c r="D1255" s="139"/>
      <c r="E1255" s="141" t="s">
        <v>1829</v>
      </c>
      <c r="F1255" s="141" t="s">
        <v>1756</v>
      </c>
      <c r="G1255" s="154" t="str">
        <f t="shared" si="214"/>
        <v>/</v>
      </c>
      <c r="H1255" s="141" t="str">
        <f t="shared" si="215"/>
        <v>/</v>
      </c>
      <c r="I1255" s="139" t="e">
        <f t="shared" si="209"/>
        <v>#NUM!</v>
      </c>
      <c r="J1255" s="139" t="e">
        <f t="shared" si="210"/>
        <v>#NUM!</v>
      </c>
      <c r="K1255" s="155">
        <f t="shared" si="213"/>
        <v>-1</v>
      </c>
      <c r="N1255" s="139">
        <f t="shared" si="211"/>
        <v>0</v>
      </c>
      <c r="O1255" s="139">
        <f t="shared" si="212"/>
        <v>1</v>
      </c>
      <c r="Q1255" s="186"/>
      <c r="R1255" s="186" t="s">
        <v>873</v>
      </c>
      <c r="S1255" s="139"/>
      <c r="V1255" s="139"/>
    </row>
    <row r="1256" spans="4:22">
      <c r="D1256" s="139"/>
      <c r="E1256" s="141" t="s">
        <v>1829</v>
      </c>
      <c r="F1256" s="141" t="s">
        <v>1756</v>
      </c>
      <c r="G1256" s="154" t="str">
        <f t="shared" si="214"/>
        <v>/</v>
      </c>
      <c r="H1256" s="141" t="str">
        <f t="shared" si="215"/>
        <v>/</v>
      </c>
      <c r="I1256" s="139" t="e">
        <f t="shared" si="209"/>
        <v>#NUM!</v>
      </c>
      <c r="J1256" s="139" t="e">
        <f t="shared" si="210"/>
        <v>#NUM!</v>
      </c>
      <c r="K1256" s="155">
        <f t="shared" si="213"/>
        <v>-1</v>
      </c>
      <c r="N1256" s="139">
        <f t="shared" si="211"/>
        <v>0</v>
      </c>
      <c r="O1256" s="139">
        <f t="shared" si="212"/>
        <v>1</v>
      </c>
      <c r="Q1256" s="186"/>
      <c r="R1256" s="186" t="s">
        <v>873</v>
      </c>
      <c r="S1256" s="139"/>
      <c r="V1256" s="139"/>
    </row>
    <row r="1257" spans="4:22">
      <c r="D1257" s="139"/>
      <c r="E1257" s="141" t="s">
        <v>1829</v>
      </c>
      <c r="F1257" s="141" t="s">
        <v>1756</v>
      </c>
      <c r="G1257" s="154" t="str">
        <f t="shared" si="214"/>
        <v>/</v>
      </c>
      <c r="H1257" s="141" t="str">
        <f t="shared" si="215"/>
        <v>/</v>
      </c>
      <c r="I1257" s="139" t="e">
        <f t="shared" si="209"/>
        <v>#NUM!</v>
      </c>
      <c r="J1257" s="139" t="e">
        <f t="shared" si="210"/>
        <v>#NUM!</v>
      </c>
      <c r="K1257" s="155">
        <f t="shared" si="213"/>
        <v>-1</v>
      </c>
      <c r="N1257" s="139">
        <f t="shared" si="211"/>
        <v>0</v>
      </c>
      <c r="O1257" s="139">
        <f t="shared" si="212"/>
        <v>1</v>
      </c>
      <c r="Q1257" s="186"/>
      <c r="R1257" s="186" t="s">
        <v>873</v>
      </c>
      <c r="S1257" s="139"/>
      <c r="V1257" s="139"/>
    </row>
    <row r="1258" spans="4:22">
      <c r="D1258" s="139"/>
      <c r="E1258" s="141" t="s">
        <v>1829</v>
      </c>
      <c r="F1258" s="141" t="s">
        <v>1756</v>
      </c>
      <c r="G1258" s="154" t="str">
        <f t="shared" si="214"/>
        <v>/</v>
      </c>
      <c r="H1258" s="141" t="str">
        <f t="shared" si="215"/>
        <v>/</v>
      </c>
      <c r="I1258" s="139" t="e">
        <f t="shared" si="209"/>
        <v>#NUM!</v>
      </c>
      <c r="J1258" s="139" t="e">
        <f t="shared" si="210"/>
        <v>#NUM!</v>
      </c>
      <c r="K1258" s="155">
        <f t="shared" si="213"/>
        <v>-1</v>
      </c>
      <c r="N1258" s="139">
        <f t="shared" si="211"/>
        <v>0</v>
      </c>
      <c r="O1258" s="139">
        <f t="shared" si="212"/>
        <v>1</v>
      </c>
      <c r="Q1258" s="186"/>
      <c r="R1258" s="186" t="s">
        <v>873</v>
      </c>
      <c r="S1258" s="139"/>
      <c r="V1258" s="139"/>
    </row>
    <row r="1259" spans="4:22">
      <c r="D1259" s="139"/>
      <c r="E1259" s="141" t="s">
        <v>1829</v>
      </c>
      <c r="F1259" s="141" t="s">
        <v>1756</v>
      </c>
      <c r="G1259" s="154" t="str">
        <f t="shared" si="214"/>
        <v>/</v>
      </c>
      <c r="H1259" s="141" t="str">
        <f t="shared" si="215"/>
        <v>/</v>
      </c>
      <c r="I1259" s="139" t="e">
        <f t="shared" si="209"/>
        <v>#NUM!</v>
      </c>
      <c r="J1259" s="139" t="e">
        <f t="shared" si="210"/>
        <v>#NUM!</v>
      </c>
      <c r="K1259" s="155">
        <f t="shared" si="213"/>
        <v>-1</v>
      </c>
      <c r="N1259" s="139">
        <f t="shared" si="211"/>
        <v>0</v>
      </c>
      <c r="O1259" s="139">
        <f t="shared" si="212"/>
        <v>1</v>
      </c>
      <c r="Q1259" s="186"/>
      <c r="R1259" s="186" t="s">
        <v>873</v>
      </c>
      <c r="S1259" s="139"/>
      <c r="V1259" s="139"/>
    </row>
    <row r="1260" spans="4:22">
      <c r="D1260" s="139"/>
      <c r="E1260" s="141" t="s">
        <v>1829</v>
      </c>
      <c r="F1260" s="141" t="s">
        <v>1756</v>
      </c>
      <c r="G1260" s="154" t="str">
        <f t="shared" si="214"/>
        <v>/</v>
      </c>
      <c r="H1260" s="141" t="str">
        <f t="shared" si="215"/>
        <v>/</v>
      </c>
      <c r="I1260" s="139" t="e">
        <f t="shared" si="209"/>
        <v>#NUM!</v>
      </c>
      <c r="J1260" s="139" t="e">
        <f t="shared" si="210"/>
        <v>#NUM!</v>
      </c>
      <c r="K1260" s="155">
        <f t="shared" si="213"/>
        <v>-1</v>
      </c>
      <c r="N1260" s="139">
        <f t="shared" si="211"/>
        <v>0</v>
      </c>
      <c r="O1260" s="139">
        <f t="shared" si="212"/>
        <v>1</v>
      </c>
      <c r="Q1260" s="186"/>
      <c r="R1260" s="186" t="s">
        <v>873</v>
      </c>
      <c r="S1260" s="139"/>
      <c r="V1260" s="139"/>
    </row>
    <row r="1261" spans="4:22">
      <c r="D1261" s="139"/>
      <c r="E1261" s="141" t="s">
        <v>1829</v>
      </c>
      <c r="F1261" s="141" t="s">
        <v>1756</v>
      </c>
      <c r="G1261" s="154" t="str">
        <f t="shared" si="214"/>
        <v>/</v>
      </c>
      <c r="H1261" s="141" t="str">
        <f t="shared" si="215"/>
        <v>/</v>
      </c>
      <c r="I1261" s="139" t="e">
        <f t="shared" si="209"/>
        <v>#NUM!</v>
      </c>
      <c r="J1261" s="139" t="e">
        <f t="shared" si="210"/>
        <v>#NUM!</v>
      </c>
      <c r="K1261" s="155">
        <f t="shared" si="213"/>
        <v>-1</v>
      </c>
      <c r="N1261" s="139">
        <f t="shared" si="211"/>
        <v>0</v>
      </c>
      <c r="O1261" s="139">
        <f t="shared" si="212"/>
        <v>1</v>
      </c>
      <c r="Q1261" s="186"/>
      <c r="R1261" s="186" t="s">
        <v>873</v>
      </c>
      <c r="S1261" s="139"/>
      <c r="V1261" s="139"/>
    </row>
    <row r="1262" spans="4:22">
      <c r="D1262" s="139"/>
      <c r="E1262" s="141" t="s">
        <v>1829</v>
      </c>
      <c r="F1262" s="141" t="s">
        <v>1756</v>
      </c>
      <c r="G1262" s="154" t="str">
        <f t="shared" si="214"/>
        <v>/</v>
      </c>
      <c r="H1262" s="141" t="str">
        <f t="shared" si="215"/>
        <v>/</v>
      </c>
      <c r="I1262" s="139" t="e">
        <f t="shared" si="209"/>
        <v>#NUM!</v>
      </c>
      <c r="J1262" s="139" t="e">
        <f t="shared" si="210"/>
        <v>#NUM!</v>
      </c>
      <c r="K1262" s="155">
        <f t="shared" si="213"/>
        <v>-1</v>
      </c>
      <c r="N1262" s="139">
        <f t="shared" si="211"/>
        <v>0</v>
      </c>
      <c r="O1262" s="139">
        <f t="shared" si="212"/>
        <v>1</v>
      </c>
      <c r="Q1262" s="186"/>
      <c r="R1262" s="186" t="s">
        <v>873</v>
      </c>
      <c r="S1262" s="139"/>
      <c r="V1262" s="139"/>
    </row>
    <row r="1263" spans="4:22">
      <c r="D1263" s="139"/>
      <c r="E1263" s="141" t="s">
        <v>1829</v>
      </c>
      <c r="F1263" s="141" t="s">
        <v>1756</v>
      </c>
      <c r="G1263" s="154" t="str">
        <f t="shared" si="214"/>
        <v>/</v>
      </c>
      <c r="H1263" s="141" t="str">
        <f t="shared" si="215"/>
        <v>/</v>
      </c>
      <c r="I1263" s="139" t="e">
        <f t="shared" si="209"/>
        <v>#NUM!</v>
      </c>
      <c r="J1263" s="139" t="e">
        <f t="shared" si="210"/>
        <v>#NUM!</v>
      </c>
      <c r="K1263" s="155">
        <f t="shared" si="213"/>
        <v>-1</v>
      </c>
      <c r="N1263" s="139">
        <f t="shared" si="211"/>
        <v>0</v>
      </c>
      <c r="O1263" s="139">
        <f t="shared" si="212"/>
        <v>1</v>
      </c>
      <c r="Q1263" s="186"/>
      <c r="R1263" s="186" t="s">
        <v>873</v>
      </c>
      <c r="S1263" s="139"/>
      <c r="V1263" s="139"/>
    </row>
    <row r="1264" spans="4:22">
      <c r="D1264" s="139"/>
      <c r="E1264" s="141" t="s">
        <v>1829</v>
      </c>
      <c r="F1264" s="141" t="s">
        <v>1756</v>
      </c>
      <c r="G1264" s="154" t="str">
        <f t="shared" si="214"/>
        <v>/</v>
      </c>
      <c r="H1264" s="141" t="str">
        <f t="shared" si="215"/>
        <v>/</v>
      </c>
      <c r="I1264" s="139" t="e">
        <f t="shared" si="209"/>
        <v>#NUM!</v>
      </c>
      <c r="J1264" s="139" t="e">
        <f t="shared" si="210"/>
        <v>#NUM!</v>
      </c>
      <c r="K1264" s="155">
        <f t="shared" si="213"/>
        <v>-1</v>
      </c>
      <c r="N1264" s="139">
        <f t="shared" si="211"/>
        <v>0</v>
      </c>
      <c r="O1264" s="139">
        <f t="shared" si="212"/>
        <v>1</v>
      </c>
      <c r="Q1264" s="186"/>
      <c r="R1264" s="186" t="s">
        <v>873</v>
      </c>
      <c r="S1264" s="139"/>
      <c r="V1264" s="139"/>
    </row>
    <row r="1265" spans="4:22">
      <c r="D1265" s="139"/>
      <c r="E1265" s="141" t="s">
        <v>1829</v>
      </c>
      <c r="F1265" s="141" t="s">
        <v>1756</v>
      </c>
      <c r="G1265" s="154" t="str">
        <f t="shared" si="214"/>
        <v>/</v>
      </c>
      <c r="H1265" s="141" t="str">
        <f t="shared" si="215"/>
        <v>/</v>
      </c>
      <c r="I1265" s="139" t="e">
        <f t="shared" si="209"/>
        <v>#NUM!</v>
      </c>
      <c r="J1265" s="139" t="e">
        <f t="shared" si="210"/>
        <v>#NUM!</v>
      </c>
      <c r="K1265" s="155">
        <f t="shared" si="213"/>
        <v>-1</v>
      </c>
      <c r="N1265" s="139">
        <f t="shared" si="211"/>
        <v>0</v>
      </c>
      <c r="O1265" s="139">
        <f t="shared" si="212"/>
        <v>1</v>
      </c>
      <c r="Q1265" s="186"/>
      <c r="R1265" s="186" t="s">
        <v>873</v>
      </c>
      <c r="S1265" s="139"/>
      <c r="V1265" s="139"/>
    </row>
    <row r="1266" spans="4:22">
      <c r="D1266" s="139"/>
      <c r="E1266" s="141" t="s">
        <v>1829</v>
      </c>
      <c r="F1266" s="141" t="s">
        <v>1756</v>
      </c>
      <c r="G1266" s="154" t="str">
        <f t="shared" si="214"/>
        <v>/</v>
      </c>
      <c r="H1266" s="141" t="str">
        <f t="shared" si="215"/>
        <v>/</v>
      </c>
      <c r="I1266" s="139" t="e">
        <f t="shared" si="209"/>
        <v>#NUM!</v>
      </c>
      <c r="J1266" s="139" t="e">
        <f t="shared" si="210"/>
        <v>#NUM!</v>
      </c>
      <c r="K1266" s="155">
        <f t="shared" si="213"/>
        <v>-1</v>
      </c>
      <c r="N1266" s="139">
        <f t="shared" si="211"/>
        <v>0</v>
      </c>
      <c r="O1266" s="139">
        <f t="shared" si="212"/>
        <v>1</v>
      </c>
      <c r="Q1266" s="186"/>
      <c r="R1266" s="186" t="s">
        <v>873</v>
      </c>
      <c r="S1266" s="139"/>
      <c r="V1266" s="139"/>
    </row>
    <row r="1267" spans="4:22">
      <c r="D1267" s="139"/>
      <c r="E1267" s="141" t="s">
        <v>1829</v>
      </c>
      <c r="F1267" s="141" t="s">
        <v>1756</v>
      </c>
      <c r="G1267" s="154" t="str">
        <f t="shared" si="214"/>
        <v>/</v>
      </c>
      <c r="H1267" s="141" t="str">
        <f t="shared" si="215"/>
        <v>/</v>
      </c>
      <c r="I1267" s="139" t="e">
        <f t="shared" ref="I1267:I1330" si="216">DAY(K1267)</f>
        <v>#NUM!</v>
      </c>
      <c r="J1267" s="139" t="e">
        <f t="shared" ref="J1267:J1330" si="217">MONTH(K1267)</f>
        <v>#NUM!</v>
      </c>
      <c r="K1267" s="155">
        <f t="shared" si="213"/>
        <v>-1</v>
      </c>
      <c r="N1267" s="139">
        <f t="shared" ref="N1267:N1330" si="218">DAY(P1267)</f>
        <v>0</v>
      </c>
      <c r="O1267" s="139">
        <f t="shared" ref="O1267:O1330" si="219">MONTH(P1267)</f>
        <v>1</v>
      </c>
      <c r="Q1267" s="186"/>
      <c r="R1267" s="186" t="s">
        <v>873</v>
      </c>
      <c r="S1267" s="139"/>
      <c r="V1267" s="139"/>
    </row>
    <row r="1268" spans="4:22">
      <c r="D1268" s="139"/>
      <c r="E1268" s="141" t="s">
        <v>1829</v>
      </c>
      <c r="F1268" s="141" t="s">
        <v>1756</v>
      </c>
      <c r="G1268" s="154" t="str">
        <f t="shared" si="214"/>
        <v>/</v>
      </c>
      <c r="H1268" s="141" t="str">
        <f t="shared" si="215"/>
        <v>/</v>
      </c>
      <c r="I1268" s="139" t="e">
        <f t="shared" si="216"/>
        <v>#NUM!</v>
      </c>
      <c r="J1268" s="139" t="e">
        <f t="shared" si="217"/>
        <v>#NUM!</v>
      </c>
      <c r="K1268" s="155">
        <f t="shared" si="213"/>
        <v>-1</v>
      </c>
      <c r="N1268" s="139">
        <f t="shared" si="218"/>
        <v>0</v>
      </c>
      <c r="O1268" s="139">
        <f t="shared" si="219"/>
        <v>1</v>
      </c>
      <c r="Q1268" s="186"/>
      <c r="R1268" s="186" t="s">
        <v>873</v>
      </c>
      <c r="S1268" s="139"/>
      <c r="V1268" s="139"/>
    </row>
    <row r="1269" spans="4:22">
      <c r="D1269" s="139"/>
      <c r="E1269" s="141" t="s">
        <v>1829</v>
      </c>
      <c r="F1269" s="141" t="s">
        <v>1756</v>
      </c>
      <c r="G1269" s="154" t="str">
        <f t="shared" si="214"/>
        <v>/</v>
      </c>
      <c r="H1269" s="141" t="str">
        <f t="shared" si="215"/>
        <v>/</v>
      </c>
      <c r="I1269" s="139" t="e">
        <f t="shared" si="216"/>
        <v>#NUM!</v>
      </c>
      <c r="J1269" s="139" t="e">
        <f t="shared" si="217"/>
        <v>#NUM!</v>
      </c>
      <c r="K1269" s="155">
        <f t="shared" si="213"/>
        <v>-1</v>
      </c>
      <c r="N1269" s="139">
        <f t="shared" si="218"/>
        <v>0</v>
      </c>
      <c r="O1269" s="139">
        <f t="shared" si="219"/>
        <v>1</v>
      </c>
      <c r="Q1269" s="186"/>
      <c r="R1269" s="186" t="s">
        <v>873</v>
      </c>
      <c r="S1269" s="139"/>
      <c r="V1269" s="139"/>
    </row>
    <row r="1270" spans="4:22">
      <c r="D1270" s="139"/>
      <c r="E1270" s="141" t="s">
        <v>1829</v>
      </c>
      <c r="F1270" s="141" t="s">
        <v>1756</v>
      </c>
      <c r="G1270" s="154" t="str">
        <f t="shared" si="214"/>
        <v>/</v>
      </c>
      <c r="H1270" s="141" t="str">
        <f t="shared" si="215"/>
        <v>/</v>
      </c>
      <c r="I1270" s="139" t="e">
        <f t="shared" si="216"/>
        <v>#NUM!</v>
      </c>
      <c r="J1270" s="139" t="e">
        <f t="shared" si="217"/>
        <v>#NUM!</v>
      </c>
      <c r="K1270" s="155">
        <f t="shared" si="213"/>
        <v>-1</v>
      </c>
      <c r="N1270" s="139">
        <f t="shared" si="218"/>
        <v>0</v>
      </c>
      <c r="O1270" s="139">
        <f t="shared" si="219"/>
        <v>1</v>
      </c>
      <c r="Q1270" s="186"/>
      <c r="R1270" s="186" t="s">
        <v>873</v>
      </c>
      <c r="S1270" s="139"/>
      <c r="V1270" s="139"/>
    </row>
    <row r="1271" spans="4:22">
      <c r="D1271" s="139"/>
      <c r="E1271" s="141" t="s">
        <v>1829</v>
      </c>
      <c r="F1271" s="141" t="s">
        <v>1756</v>
      </c>
      <c r="G1271" s="154" t="str">
        <f t="shared" si="214"/>
        <v>/</v>
      </c>
      <c r="H1271" s="141" t="str">
        <f t="shared" si="215"/>
        <v>/</v>
      </c>
      <c r="I1271" s="139" t="e">
        <f t="shared" si="216"/>
        <v>#NUM!</v>
      </c>
      <c r="J1271" s="139" t="e">
        <f t="shared" si="217"/>
        <v>#NUM!</v>
      </c>
      <c r="K1271" s="155">
        <f t="shared" si="213"/>
        <v>-1</v>
      </c>
      <c r="N1271" s="139">
        <f t="shared" si="218"/>
        <v>0</v>
      </c>
      <c r="O1271" s="139">
        <f t="shared" si="219"/>
        <v>1</v>
      </c>
      <c r="Q1271" s="186"/>
      <c r="R1271" s="186" t="s">
        <v>873</v>
      </c>
      <c r="S1271" s="139"/>
      <c r="V1271" s="139"/>
    </row>
    <row r="1272" spans="4:22">
      <c r="D1272" s="139"/>
      <c r="E1272" s="141" t="s">
        <v>1829</v>
      </c>
      <c r="F1272" s="141" t="s">
        <v>1756</v>
      </c>
      <c r="G1272" s="154" t="str">
        <f t="shared" si="214"/>
        <v>/</v>
      </c>
      <c r="H1272" s="141" t="str">
        <f t="shared" si="215"/>
        <v>/</v>
      </c>
      <c r="I1272" s="139" t="e">
        <f t="shared" si="216"/>
        <v>#NUM!</v>
      </c>
      <c r="J1272" s="139" t="e">
        <f t="shared" si="217"/>
        <v>#NUM!</v>
      </c>
      <c r="K1272" s="155">
        <f t="shared" si="213"/>
        <v>-1</v>
      </c>
      <c r="N1272" s="139">
        <f t="shared" si="218"/>
        <v>0</v>
      </c>
      <c r="O1272" s="139">
        <f t="shared" si="219"/>
        <v>1</v>
      </c>
      <c r="Q1272" s="186"/>
      <c r="R1272" s="186" t="s">
        <v>873</v>
      </c>
      <c r="S1272" s="139"/>
      <c r="V1272" s="139"/>
    </row>
    <row r="1273" spans="4:22">
      <c r="D1273" s="139"/>
      <c r="E1273" s="141" t="s">
        <v>1829</v>
      </c>
      <c r="F1273" s="141" t="s">
        <v>1756</v>
      </c>
      <c r="G1273" s="154" t="str">
        <f t="shared" si="214"/>
        <v>/</v>
      </c>
      <c r="H1273" s="141" t="str">
        <f t="shared" si="215"/>
        <v>/</v>
      </c>
      <c r="I1273" s="139" t="e">
        <f t="shared" si="216"/>
        <v>#NUM!</v>
      </c>
      <c r="J1273" s="139" t="e">
        <f t="shared" si="217"/>
        <v>#NUM!</v>
      </c>
      <c r="K1273" s="155">
        <f t="shared" si="213"/>
        <v>-1</v>
      </c>
      <c r="N1273" s="139">
        <f t="shared" si="218"/>
        <v>0</v>
      </c>
      <c r="O1273" s="139">
        <f t="shared" si="219"/>
        <v>1</v>
      </c>
      <c r="Q1273" s="186"/>
      <c r="R1273" s="186" t="s">
        <v>873</v>
      </c>
      <c r="S1273" s="139"/>
      <c r="V1273" s="139"/>
    </row>
    <row r="1274" spans="4:22">
      <c r="D1274" s="139"/>
      <c r="E1274" s="141" t="s">
        <v>1829</v>
      </c>
      <c r="F1274" s="141" t="s">
        <v>1756</v>
      </c>
      <c r="G1274" s="154" t="str">
        <f t="shared" si="214"/>
        <v>/</v>
      </c>
      <c r="H1274" s="141" t="str">
        <f t="shared" si="215"/>
        <v>/</v>
      </c>
      <c r="I1274" s="139" t="e">
        <f t="shared" si="216"/>
        <v>#NUM!</v>
      </c>
      <c r="J1274" s="139" t="e">
        <f t="shared" si="217"/>
        <v>#NUM!</v>
      </c>
      <c r="K1274" s="155">
        <f t="shared" ref="K1274:K1337" si="220">P1274-1</f>
        <v>-1</v>
      </c>
      <c r="N1274" s="139">
        <f t="shared" si="218"/>
        <v>0</v>
      </c>
      <c r="O1274" s="139">
        <f t="shared" si="219"/>
        <v>1</v>
      </c>
      <c r="Q1274" s="186"/>
      <c r="R1274" s="186" t="s">
        <v>873</v>
      </c>
      <c r="S1274" s="139"/>
      <c r="V1274" s="139"/>
    </row>
    <row r="1275" spans="4:22">
      <c r="D1275" s="139"/>
      <c r="E1275" s="141" t="s">
        <v>1829</v>
      </c>
      <c r="F1275" s="141" t="s">
        <v>1756</v>
      </c>
      <c r="G1275" s="154" t="str">
        <f t="shared" si="214"/>
        <v>/</v>
      </c>
      <c r="H1275" s="141" t="str">
        <f t="shared" si="215"/>
        <v>/</v>
      </c>
      <c r="I1275" s="139" t="e">
        <f t="shared" si="216"/>
        <v>#NUM!</v>
      </c>
      <c r="J1275" s="139" t="e">
        <f t="shared" si="217"/>
        <v>#NUM!</v>
      </c>
      <c r="K1275" s="155">
        <f t="shared" si="220"/>
        <v>-1</v>
      </c>
      <c r="N1275" s="139">
        <f t="shared" si="218"/>
        <v>0</v>
      </c>
      <c r="O1275" s="139">
        <f t="shared" si="219"/>
        <v>1</v>
      </c>
      <c r="Q1275" s="186"/>
      <c r="R1275" s="186" t="s">
        <v>873</v>
      </c>
      <c r="S1275" s="139"/>
      <c r="V1275" s="139"/>
    </row>
    <row r="1276" spans="4:22">
      <c r="D1276" s="139"/>
      <c r="E1276" s="141" t="s">
        <v>1829</v>
      </c>
      <c r="F1276" s="141" t="s">
        <v>1756</v>
      </c>
      <c r="G1276" s="154" t="str">
        <f t="shared" si="214"/>
        <v>/</v>
      </c>
      <c r="H1276" s="141" t="str">
        <f t="shared" si="215"/>
        <v>/</v>
      </c>
      <c r="I1276" s="139" t="e">
        <f t="shared" si="216"/>
        <v>#NUM!</v>
      </c>
      <c r="J1276" s="139" t="e">
        <f t="shared" si="217"/>
        <v>#NUM!</v>
      </c>
      <c r="K1276" s="155">
        <f t="shared" si="220"/>
        <v>-1</v>
      </c>
      <c r="N1276" s="139">
        <f t="shared" si="218"/>
        <v>0</v>
      </c>
      <c r="O1276" s="139">
        <f t="shared" si="219"/>
        <v>1</v>
      </c>
      <c r="Q1276" s="186"/>
      <c r="R1276" s="186" t="s">
        <v>873</v>
      </c>
      <c r="S1276" s="139"/>
      <c r="V1276" s="139"/>
    </row>
    <row r="1277" spans="4:22">
      <c r="D1277" s="139"/>
      <c r="E1277" s="141" t="s">
        <v>1829</v>
      </c>
      <c r="F1277" s="141" t="s">
        <v>1756</v>
      </c>
      <c r="G1277" s="154" t="str">
        <f t="shared" si="214"/>
        <v>/</v>
      </c>
      <c r="H1277" s="141" t="str">
        <f t="shared" si="215"/>
        <v>/</v>
      </c>
      <c r="I1277" s="139" t="e">
        <f t="shared" si="216"/>
        <v>#NUM!</v>
      </c>
      <c r="J1277" s="139" t="e">
        <f t="shared" si="217"/>
        <v>#NUM!</v>
      </c>
      <c r="K1277" s="155">
        <f t="shared" si="220"/>
        <v>-1</v>
      </c>
      <c r="N1277" s="139">
        <f t="shared" si="218"/>
        <v>0</v>
      </c>
      <c r="O1277" s="139">
        <f t="shared" si="219"/>
        <v>1</v>
      </c>
      <c r="Q1277" s="186"/>
      <c r="R1277" s="186" t="s">
        <v>873</v>
      </c>
      <c r="S1277" s="139"/>
      <c r="V1277" s="139"/>
    </row>
    <row r="1278" spans="4:22">
      <c r="D1278" s="139"/>
      <c r="E1278" s="141" t="s">
        <v>1829</v>
      </c>
      <c r="F1278" s="141" t="s">
        <v>1756</v>
      </c>
      <c r="G1278" s="154" t="str">
        <f t="shared" si="214"/>
        <v>/</v>
      </c>
      <c r="H1278" s="141" t="str">
        <f t="shared" si="215"/>
        <v>/</v>
      </c>
      <c r="I1278" s="139" t="e">
        <f t="shared" si="216"/>
        <v>#NUM!</v>
      </c>
      <c r="J1278" s="139" t="e">
        <f t="shared" si="217"/>
        <v>#NUM!</v>
      </c>
      <c r="K1278" s="155">
        <f t="shared" si="220"/>
        <v>-1</v>
      </c>
      <c r="N1278" s="139">
        <f t="shared" si="218"/>
        <v>0</v>
      </c>
      <c r="O1278" s="139">
        <f t="shared" si="219"/>
        <v>1</v>
      </c>
      <c r="Q1278" s="186"/>
      <c r="R1278" s="186" t="s">
        <v>873</v>
      </c>
      <c r="S1278" s="139"/>
      <c r="V1278" s="139"/>
    </row>
    <row r="1279" spans="4:22">
      <c r="D1279" s="139"/>
      <c r="E1279" s="141" t="s">
        <v>1829</v>
      </c>
      <c r="F1279" s="141" t="s">
        <v>1756</v>
      </c>
      <c r="G1279" s="154" t="str">
        <f t="shared" si="214"/>
        <v>/</v>
      </c>
      <c r="H1279" s="141" t="str">
        <f t="shared" si="215"/>
        <v>/</v>
      </c>
      <c r="I1279" s="139" t="e">
        <f t="shared" si="216"/>
        <v>#NUM!</v>
      </c>
      <c r="J1279" s="139" t="e">
        <f t="shared" si="217"/>
        <v>#NUM!</v>
      </c>
      <c r="K1279" s="155">
        <f t="shared" si="220"/>
        <v>-1</v>
      </c>
      <c r="N1279" s="139">
        <f t="shared" si="218"/>
        <v>0</v>
      </c>
      <c r="O1279" s="139">
        <f t="shared" si="219"/>
        <v>1</v>
      </c>
      <c r="Q1279" s="186"/>
      <c r="R1279" s="186" t="s">
        <v>873</v>
      </c>
      <c r="S1279" s="139"/>
      <c r="V1279" s="139"/>
    </row>
    <row r="1280" spans="4:22">
      <c r="D1280" s="139"/>
      <c r="E1280" s="141" t="s">
        <v>1829</v>
      </c>
      <c r="F1280" s="141" t="s">
        <v>1756</v>
      </c>
      <c r="G1280" s="154" t="str">
        <f t="shared" si="214"/>
        <v>/</v>
      </c>
      <c r="H1280" s="141" t="str">
        <f t="shared" si="215"/>
        <v>/</v>
      </c>
      <c r="I1280" s="139" t="e">
        <f t="shared" si="216"/>
        <v>#NUM!</v>
      </c>
      <c r="J1280" s="139" t="e">
        <f t="shared" si="217"/>
        <v>#NUM!</v>
      </c>
      <c r="K1280" s="155">
        <f t="shared" si="220"/>
        <v>-1</v>
      </c>
      <c r="N1280" s="139">
        <f t="shared" si="218"/>
        <v>0</v>
      </c>
      <c r="O1280" s="139">
        <f t="shared" si="219"/>
        <v>1</v>
      </c>
      <c r="Q1280" s="186"/>
      <c r="R1280" s="186" t="s">
        <v>873</v>
      </c>
      <c r="S1280" s="139"/>
      <c r="V1280" s="139"/>
    </row>
    <row r="1281" spans="4:22">
      <c r="D1281" s="139"/>
      <c r="E1281" s="141" t="s">
        <v>1829</v>
      </c>
      <c r="F1281" s="141" t="s">
        <v>1756</v>
      </c>
      <c r="G1281" s="154" t="str">
        <f t="shared" ref="G1281:G1344" si="221">A1281&amp;"/"&amp;B1281</f>
        <v>/</v>
      </c>
      <c r="H1281" s="141" t="str">
        <f t="shared" ref="H1281:H1344" si="222">A1281&amp;"/"&amp;B1281</f>
        <v>/</v>
      </c>
      <c r="I1281" s="139" t="e">
        <f t="shared" si="216"/>
        <v>#NUM!</v>
      </c>
      <c r="J1281" s="139" t="e">
        <f t="shared" si="217"/>
        <v>#NUM!</v>
      </c>
      <c r="K1281" s="155">
        <f t="shared" si="220"/>
        <v>-1</v>
      </c>
      <c r="N1281" s="139">
        <f t="shared" si="218"/>
        <v>0</v>
      </c>
      <c r="O1281" s="139">
        <f t="shared" si="219"/>
        <v>1</v>
      </c>
      <c r="Q1281" s="186"/>
      <c r="R1281" s="186" t="s">
        <v>873</v>
      </c>
      <c r="S1281" s="139"/>
      <c r="V1281" s="139"/>
    </row>
    <row r="1282" spans="4:22">
      <c r="D1282" s="139"/>
      <c r="E1282" s="141" t="s">
        <v>1829</v>
      </c>
      <c r="F1282" s="141" t="s">
        <v>1756</v>
      </c>
      <c r="G1282" s="154" t="str">
        <f t="shared" si="221"/>
        <v>/</v>
      </c>
      <c r="H1282" s="141" t="str">
        <f t="shared" si="222"/>
        <v>/</v>
      </c>
      <c r="I1282" s="139" t="e">
        <f t="shared" si="216"/>
        <v>#NUM!</v>
      </c>
      <c r="J1282" s="139" t="e">
        <f t="shared" si="217"/>
        <v>#NUM!</v>
      </c>
      <c r="K1282" s="155">
        <f t="shared" si="220"/>
        <v>-1</v>
      </c>
      <c r="N1282" s="139">
        <f t="shared" si="218"/>
        <v>0</v>
      </c>
      <c r="O1282" s="139">
        <f t="shared" si="219"/>
        <v>1</v>
      </c>
      <c r="Q1282" s="186"/>
      <c r="R1282" s="186" t="s">
        <v>873</v>
      </c>
      <c r="S1282" s="139"/>
      <c r="V1282" s="139"/>
    </row>
    <row r="1283" spans="4:22">
      <c r="D1283" s="139"/>
      <c r="E1283" s="141" t="s">
        <v>1829</v>
      </c>
      <c r="F1283" s="141" t="s">
        <v>1756</v>
      </c>
      <c r="G1283" s="154" t="str">
        <f t="shared" si="221"/>
        <v>/</v>
      </c>
      <c r="H1283" s="141" t="str">
        <f t="shared" si="222"/>
        <v>/</v>
      </c>
      <c r="I1283" s="139" t="e">
        <f t="shared" si="216"/>
        <v>#NUM!</v>
      </c>
      <c r="J1283" s="139" t="e">
        <f t="shared" si="217"/>
        <v>#NUM!</v>
      </c>
      <c r="K1283" s="155">
        <f t="shared" si="220"/>
        <v>-1</v>
      </c>
      <c r="N1283" s="139">
        <f t="shared" si="218"/>
        <v>0</v>
      </c>
      <c r="O1283" s="139">
        <f t="shared" si="219"/>
        <v>1</v>
      </c>
      <c r="Q1283" s="186"/>
      <c r="R1283" s="186" t="s">
        <v>873</v>
      </c>
      <c r="S1283" s="139"/>
      <c r="V1283" s="139"/>
    </row>
    <row r="1284" spans="4:22">
      <c r="D1284" s="139"/>
      <c r="E1284" s="141" t="s">
        <v>1829</v>
      </c>
      <c r="F1284" s="141" t="s">
        <v>1756</v>
      </c>
      <c r="G1284" s="154" t="str">
        <f t="shared" si="221"/>
        <v>/</v>
      </c>
      <c r="H1284" s="141" t="str">
        <f t="shared" si="222"/>
        <v>/</v>
      </c>
      <c r="I1284" s="139" t="e">
        <f t="shared" si="216"/>
        <v>#NUM!</v>
      </c>
      <c r="J1284" s="139" t="e">
        <f t="shared" si="217"/>
        <v>#NUM!</v>
      </c>
      <c r="K1284" s="155">
        <f t="shared" si="220"/>
        <v>-1</v>
      </c>
      <c r="N1284" s="139">
        <f t="shared" si="218"/>
        <v>0</v>
      </c>
      <c r="O1284" s="139">
        <f t="shared" si="219"/>
        <v>1</v>
      </c>
      <c r="Q1284" s="186"/>
      <c r="R1284" s="186" t="s">
        <v>873</v>
      </c>
      <c r="S1284" s="139"/>
      <c r="V1284" s="139"/>
    </row>
    <row r="1285" spans="4:22">
      <c r="D1285" s="139"/>
      <c r="E1285" s="141" t="s">
        <v>1829</v>
      </c>
      <c r="F1285" s="141" t="s">
        <v>1756</v>
      </c>
      <c r="G1285" s="154" t="str">
        <f t="shared" si="221"/>
        <v>/</v>
      </c>
      <c r="H1285" s="141" t="str">
        <f t="shared" si="222"/>
        <v>/</v>
      </c>
      <c r="I1285" s="139" t="e">
        <f t="shared" si="216"/>
        <v>#NUM!</v>
      </c>
      <c r="J1285" s="139" t="e">
        <f t="shared" si="217"/>
        <v>#NUM!</v>
      </c>
      <c r="K1285" s="155">
        <f t="shared" si="220"/>
        <v>-1</v>
      </c>
      <c r="N1285" s="139">
        <f t="shared" si="218"/>
        <v>0</v>
      </c>
      <c r="O1285" s="139">
        <f t="shared" si="219"/>
        <v>1</v>
      </c>
      <c r="Q1285" s="186"/>
      <c r="R1285" s="186" t="s">
        <v>873</v>
      </c>
      <c r="S1285" s="139"/>
      <c r="V1285" s="139"/>
    </row>
    <row r="1286" spans="4:22">
      <c r="D1286" s="139"/>
      <c r="E1286" s="141" t="s">
        <v>1829</v>
      </c>
      <c r="F1286" s="141" t="s">
        <v>1756</v>
      </c>
      <c r="G1286" s="154" t="str">
        <f t="shared" si="221"/>
        <v>/</v>
      </c>
      <c r="H1286" s="141" t="str">
        <f t="shared" si="222"/>
        <v>/</v>
      </c>
      <c r="I1286" s="139" t="e">
        <f t="shared" si="216"/>
        <v>#NUM!</v>
      </c>
      <c r="J1286" s="139" t="e">
        <f t="shared" si="217"/>
        <v>#NUM!</v>
      </c>
      <c r="K1286" s="155">
        <f t="shared" si="220"/>
        <v>-1</v>
      </c>
      <c r="N1286" s="139">
        <f t="shared" si="218"/>
        <v>0</v>
      </c>
      <c r="O1286" s="139">
        <f t="shared" si="219"/>
        <v>1</v>
      </c>
      <c r="Q1286" s="186"/>
      <c r="R1286" s="186" t="s">
        <v>873</v>
      </c>
      <c r="S1286" s="139"/>
      <c r="V1286" s="139"/>
    </row>
    <row r="1287" spans="4:22">
      <c r="D1287" s="139"/>
      <c r="E1287" s="141" t="s">
        <v>1829</v>
      </c>
      <c r="F1287" s="141" t="s">
        <v>1756</v>
      </c>
      <c r="G1287" s="154" t="str">
        <f t="shared" si="221"/>
        <v>/</v>
      </c>
      <c r="H1287" s="141" t="str">
        <f t="shared" si="222"/>
        <v>/</v>
      </c>
      <c r="I1287" s="139" t="e">
        <f t="shared" si="216"/>
        <v>#NUM!</v>
      </c>
      <c r="J1287" s="139" t="e">
        <f t="shared" si="217"/>
        <v>#NUM!</v>
      </c>
      <c r="K1287" s="155">
        <f t="shared" si="220"/>
        <v>-1</v>
      </c>
      <c r="N1287" s="139">
        <f t="shared" si="218"/>
        <v>0</v>
      </c>
      <c r="O1287" s="139">
        <f t="shared" si="219"/>
        <v>1</v>
      </c>
      <c r="Q1287" s="186"/>
      <c r="R1287" s="186" t="s">
        <v>873</v>
      </c>
      <c r="S1287" s="139"/>
      <c r="V1287" s="139"/>
    </row>
    <row r="1288" spans="4:22">
      <c r="D1288" s="139"/>
      <c r="E1288" s="141" t="s">
        <v>1829</v>
      </c>
      <c r="F1288" s="141" t="s">
        <v>1756</v>
      </c>
      <c r="G1288" s="154" t="str">
        <f t="shared" si="221"/>
        <v>/</v>
      </c>
      <c r="H1288" s="141" t="str">
        <f t="shared" si="222"/>
        <v>/</v>
      </c>
      <c r="I1288" s="139" t="e">
        <f t="shared" si="216"/>
        <v>#NUM!</v>
      </c>
      <c r="J1288" s="139" t="e">
        <f t="shared" si="217"/>
        <v>#NUM!</v>
      </c>
      <c r="K1288" s="155">
        <f t="shared" si="220"/>
        <v>-1</v>
      </c>
      <c r="N1288" s="139">
        <f t="shared" si="218"/>
        <v>0</v>
      </c>
      <c r="O1288" s="139">
        <f t="shared" si="219"/>
        <v>1</v>
      </c>
      <c r="Q1288" s="186"/>
      <c r="R1288" s="186" t="s">
        <v>873</v>
      </c>
      <c r="S1288" s="139"/>
      <c r="V1288" s="139"/>
    </row>
    <row r="1289" spans="4:22">
      <c r="D1289" s="139"/>
      <c r="E1289" s="141" t="s">
        <v>1829</v>
      </c>
      <c r="F1289" s="141" t="s">
        <v>1756</v>
      </c>
      <c r="G1289" s="154" t="str">
        <f t="shared" si="221"/>
        <v>/</v>
      </c>
      <c r="H1289" s="141" t="str">
        <f t="shared" si="222"/>
        <v>/</v>
      </c>
      <c r="I1289" s="139" t="e">
        <f t="shared" si="216"/>
        <v>#NUM!</v>
      </c>
      <c r="J1289" s="139" t="e">
        <f t="shared" si="217"/>
        <v>#NUM!</v>
      </c>
      <c r="K1289" s="155">
        <f t="shared" si="220"/>
        <v>-1</v>
      </c>
      <c r="N1289" s="139">
        <f t="shared" si="218"/>
        <v>0</v>
      </c>
      <c r="O1289" s="139">
        <f t="shared" si="219"/>
        <v>1</v>
      </c>
      <c r="Q1289" s="186"/>
      <c r="R1289" s="186" t="s">
        <v>873</v>
      </c>
      <c r="S1289" s="139"/>
      <c r="V1289" s="139"/>
    </row>
    <row r="1290" spans="4:22">
      <c r="D1290" s="139"/>
      <c r="E1290" s="141" t="s">
        <v>1829</v>
      </c>
      <c r="F1290" s="141" t="s">
        <v>1756</v>
      </c>
      <c r="G1290" s="154" t="str">
        <f t="shared" si="221"/>
        <v>/</v>
      </c>
      <c r="H1290" s="141" t="str">
        <f t="shared" si="222"/>
        <v>/</v>
      </c>
      <c r="I1290" s="139" t="e">
        <f t="shared" si="216"/>
        <v>#NUM!</v>
      </c>
      <c r="J1290" s="139" t="e">
        <f t="shared" si="217"/>
        <v>#NUM!</v>
      </c>
      <c r="K1290" s="155">
        <f t="shared" si="220"/>
        <v>-1</v>
      </c>
      <c r="N1290" s="139">
        <f t="shared" si="218"/>
        <v>0</v>
      </c>
      <c r="O1290" s="139">
        <f t="shared" si="219"/>
        <v>1</v>
      </c>
      <c r="Q1290" s="186"/>
      <c r="R1290" s="186" t="s">
        <v>873</v>
      </c>
      <c r="S1290" s="139"/>
      <c r="V1290" s="139"/>
    </row>
    <row r="1291" spans="4:22">
      <c r="D1291" s="139"/>
      <c r="E1291" s="141" t="s">
        <v>1829</v>
      </c>
      <c r="F1291" s="141" t="s">
        <v>1756</v>
      </c>
      <c r="G1291" s="154" t="str">
        <f t="shared" si="221"/>
        <v>/</v>
      </c>
      <c r="H1291" s="141" t="str">
        <f t="shared" si="222"/>
        <v>/</v>
      </c>
      <c r="I1291" s="139" t="e">
        <f t="shared" si="216"/>
        <v>#NUM!</v>
      </c>
      <c r="J1291" s="139" t="e">
        <f t="shared" si="217"/>
        <v>#NUM!</v>
      </c>
      <c r="K1291" s="155">
        <f t="shared" si="220"/>
        <v>-1</v>
      </c>
      <c r="N1291" s="139">
        <f t="shared" si="218"/>
        <v>0</v>
      </c>
      <c r="O1291" s="139">
        <f t="shared" si="219"/>
        <v>1</v>
      </c>
      <c r="Q1291" s="186"/>
      <c r="R1291" s="186" t="s">
        <v>873</v>
      </c>
      <c r="S1291" s="139"/>
      <c r="V1291" s="139"/>
    </row>
    <row r="1292" spans="4:22">
      <c r="D1292" s="139"/>
      <c r="E1292" s="141" t="s">
        <v>1829</v>
      </c>
      <c r="F1292" s="141" t="s">
        <v>1756</v>
      </c>
      <c r="G1292" s="154" t="str">
        <f t="shared" si="221"/>
        <v>/</v>
      </c>
      <c r="H1292" s="141" t="str">
        <f t="shared" si="222"/>
        <v>/</v>
      </c>
      <c r="I1292" s="139" t="e">
        <f t="shared" si="216"/>
        <v>#NUM!</v>
      </c>
      <c r="J1292" s="139" t="e">
        <f t="shared" si="217"/>
        <v>#NUM!</v>
      </c>
      <c r="K1292" s="155">
        <f t="shared" si="220"/>
        <v>-1</v>
      </c>
      <c r="N1292" s="139">
        <f t="shared" si="218"/>
        <v>0</v>
      </c>
      <c r="O1292" s="139">
        <f t="shared" si="219"/>
        <v>1</v>
      </c>
      <c r="Q1292" s="186"/>
      <c r="R1292" s="186" t="s">
        <v>873</v>
      </c>
      <c r="S1292" s="139"/>
      <c r="V1292" s="139"/>
    </row>
    <row r="1293" spans="4:22">
      <c r="D1293" s="139"/>
      <c r="E1293" s="141" t="s">
        <v>1829</v>
      </c>
      <c r="F1293" s="141" t="s">
        <v>1756</v>
      </c>
      <c r="G1293" s="154" t="str">
        <f t="shared" si="221"/>
        <v>/</v>
      </c>
      <c r="H1293" s="141" t="str">
        <f t="shared" si="222"/>
        <v>/</v>
      </c>
      <c r="I1293" s="139" t="e">
        <f t="shared" si="216"/>
        <v>#NUM!</v>
      </c>
      <c r="J1293" s="139" t="e">
        <f t="shared" si="217"/>
        <v>#NUM!</v>
      </c>
      <c r="K1293" s="155">
        <f t="shared" si="220"/>
        <v>-1</v>
      </c>
      <c r="N1293" s="139">
        <f t="shared" si="218"/>
        <v>0</v>
      </c>
      <c r="O1293" s="139">
        <f t="shared" si="219"/>
        <v>1</v>
      </c>
      <c r="Q1293" s="186"/>
      <c r="R1293" s="186" t="s">
        <v>873</v>
      </c>
      <c r="S1293" s="139"/>
      <c r="V1293" s="139"/>
    </row>
    <row r="1294" spans="4:22">
      <c r="D1294" s="139"/>
      <c r="E1294" s="141" t="s">
        <v>1829</v>
      </c>
      <c r="F1294" s="141" t="s">
        <v>1756</v>
      </c>
      <c r="G1294" s="154" t="str">
        <f t="shared" si="221"/>
        <v>/</v>
      </c>
      <c r="H1294" s="141" t="str">
        <f t="shared" si="222"/>
        <v>/</v>
      </c>
      <c r="I1294" s="139" t="e">
        <f t="shared" si="216"/>
        <v>#NUM!</v>
      </c>
      <c r="J1294" s="139" t="e">
        <f t="shared" si="217"/>
        <v>#NUM!</v>
      </c>
      <c r="K1294" s="155">
        <f t="shared" si="220"/>
        <v>-1</v>
      </c>
      <c r="N1294" s="139">
        <f t="shared" si="218"/>
        <v>0</v>
      </c>
      <c r="O1294" s="139">
        <f t="shared" si="219"/>
        <v>1</v>
      </c>
      <c r="Q1294" s="186"/>
      <c r="R1294" s="186" t="s">
        <v>873</v>
      </c>
      <c r="S1294" s="139"/>
      <c r="V1294" s="139"/>
    </row>
    <row r="1295" spans="4:22">
      <c r="D1295" s="139"/>
      <c r="E1295" s="141" t="s">
        <v>1829</v>
      </c>
      <c r="F1295" s="141" t="s">
        <v>1756</v>
      </c>
      <c r="G1295" s="154" t="str">
        <f t="shared" si="221"/>
        <v>/</v>
      </c>
      <c r="H1295" s="141" t="str">
        <f t="shared" si="222"/>
        <v>/</v>
      </c>
      <c r="I1295" s="139" t="e">
        <f t="shared" si="216"/>
        <v>#NUM!</v>
      </c>
      <c r="J1295" s="139" t="e">
        <f t="shared" si="217"/>
        <v>#NUM!</v>
      </c>
      <c r="K1295" s="155">
        <f t="shared" si="220"/>
        <v>-1</v>
      </c>
      <c r="N1295" s="139">
        <f t="shared" si="218"/>
        <v>0</v>
      </c>
      <c r="O1295" s="139">
        <f t="shared" si="219"/>
        <v>1</v>
      </c>
      <c r="Q1295" s="186"/>
      <c r="R1295" s="186" t="s">
        <v>873</v>
      </c>
      <c r="S1295" s="139"/>
      <c r="V1295" s="139"/>
    </row>
    <row r="1296" spans="4:22">
      <c r="D1296" s="139"/>
      <c r="E1296" s="141" t="s">
        <v>1829</v>
      </c>
      <c r="F1296" s="141" t="s">
        <v>1756</v>
      </c>
      <c r="G1296" s="154" t="str">
        <f t="shared" si="221"/>
        <v>/</v>
      </c>
      <c r="H1296" s="141" t="str">
        <f t="shared" si="222"/>
        <v>/</v>
      </c>
      <c r="I1296" s="139" t="e">
        <f t="shared" si="216"/>
        <v>#NUM!</v>
      </c>
      <c r="J1296" s="139" t="e">
        <f t="shared" si="217"/>
        <v>#NUM!</v>
      </c>
      <c r="K1296" s="155">
        <f t="shared" si="220"/>
        <v>-1</v>
      </c>
      <c r="N1296" s="139">
        <f t="shared" si="218"/>
        <v>0</v>
      </c>
      <c r="O1296" s="139">
        <f t="shared" si="219"/>
        <v>1</v>
      </c>
      <c r="Q1296" s="186"/>
      <c r="R1296" s="186" t="s">
        <v>873</v>
      </c>
      <c r="S1296" s="139"/>
      <c r="V1296" s="139"/>
    </row>
    <row r="1297" spans="4:22">
      <c r="D1297" s="139"/>
      <c r="E1297" s="141" t="s">
        <v>1829</v>
      </c>
      <c r="F1297" s="141" t="s">
        <v>1756</v>
      </c>
      <c r="G1297" s="154" t="str">
        <f t="shared" si="221"/>
        <v>/</v>
      </c>
      <c r="H1297" s="141" t="str">
        <f t="shared" si="222"/>
        <v>/</v>
      </c>
      <c r="I1297" s="139" t="e">
        <f t="shared" si="216"/>
        <v>#NUM!</v>
      </c>
      <c r="J1297" s="139" t="e">
        <f t="shared" si="217"/>
        <v>#NUM!</v>
      </c>
      <c r="K1297" s="155">
        <f t="shared" si="220"/>
        <v>-1</v>
      </c>
      <c r="N1297" s="139">
        <f t="shared" si="218"/>
        <v>0</v>
      </c>
      <c r="O1297" s="139">
        <f t="shared" si="219"/>
        <v>1</v>
      </c>
      <c r="Q1297" s="186"/>
      <c r="R1297" s="186" t="s">
        <v>873</v>
      </c>
      <c r="S1297" s="139"/>
      <c r="V1297" s="139"/>
    </row>
    <row r="1298" spans="4:22">
      <c r="D1298" s="139"/>
      <c r="E1298" s="141" t="s">
        <v>1829</v>
      </c>
      <c r="F1298" s="141" t="s">
        <v>1756</v>
      </c>
      <c r="G1298" s="154" t="str">
        <f t="shared" si="221"/>
        <v>/</v>
      </c>
      <c r="H1298" s="141" t="str">
        <f t="shared" si="222"/>
        <v>/</v>
      </c>
      <c r="I1298" s="139" t="e">
        <f t="shared" si="216"/>
        <v>#NUM!</v>
      </c>
      <c r="J1298" s="139" t="e">
        <f t="shared" si="217"/>
        <v>#NUM!</v>
      </c>
      <c r="K1298" s="155">
        <f t="shared" si="220"/>
        <v>-1</v>
      </c>
      <c r="N1298" s="139">
        <f t="shared" si="218"/>
        <v>0</v>
      </c>
      <c r="O1298" s="139">
        <f t="shared" si="219"/>
        <v>1</v>
      </c>
      <c r="Q1298" s="186"/>
      <c r="R1298" s="186" t="s">
        <v>873</v>
      </c>
      <c r="S1298" s="139"/>
      <c r="V1298" s="139"/>
    </row>
    <row r="1299" spans="4:22">
      <c r="D1299" s="139"/>
      <c r="E1299" s="141" t="s">
        <v>1829</v>
      </c>
      <c r="F1299" s="141" t="s">
        <v>1756</v>
      </c>
      <c r="G1299" s="154" t="str">
        <f t="shared" si="221"/>
        <v>/</v>
      </c>
      <c r="H1299" s="141" t="str">
        <f t="shared" si="222"/>
        <v>/</v>
      </c>
      <c r="I1299" s="139" t="e">
        <f t="shared" si="216"/>
        <v>#NUM!</v>
      </c>
      <c r="J1299" s="139" t="e">
        <f t="shared" si="217"/>
        <v>#NUM!</v>
      </c>
      <c r="K1299" s="155">
        <f t="shared" si="220"/>
        <v>-1</v>
      </c>
      <c r="N1299" s="139">
        <f t="shared" si="218"/>
        <v>0</v>
      </c>
      <c r="O1299" s="139">
        <f t="shared" si="219"/>
        <v>1</v>
      </c>
      <c r="Q1299" s="186"/>
      <c r="R1299" s="186" t="s">
        <v>873</v>
      </c>
      <c r="S1299" s="139"/>
      <c r="V1299" s="139"/>
    </row>
    <row r="1300" spans="4:22">
      <c r="D1300" s="139"/>
      <c r="E1300" s="141" t="s">
        <v>1829</v>
      </c>
      <c r="F1300" s="141" t="s">
        <v>1756</v>
      </c>
      <c r="G1300" s="154" t="str">
        <f t="shared" si="221"/>
        <v>/</v>
      </c>
      <c r="H1300" s="141" t="str">
        <f t="shared" si="222"/>
        <v>/</v>
      </c>
      <c r="I1300" s="139" t="e">
        <f t="shared" si="216"/>
        <v>#NUM!</v>
      </c>
      <c r="J1300" s="139" t="e">
        <f t="shared" si="217"/>
        <v>#NUM!</v>
      </c>
      <c r="K1300" s="155">
        <f t="shared" si="220"/>
        <v>-1</v>
      </c>
      <c r="N1300" s="139">
        <f t="shared" si="218"/>
        <v>0</v>
      </c>
      <c r="O1300" s="139">
        <f t="shared" si="219"/>
        <v>1</v>
      </c>
      <c r="Q1300" s="186"/>
      <c r="R1300" s="186" t="s">
        <v>873</v>
      </c>
      <c r="S1300" s="139"/>
      <c r="V1300" s="139"/>
    </row>
    <row r="1301" spans="4:22">
      <c r="D1301" s="139"/>
      <c r="E1301" s="141" t="s">
        <v>1829</v>
      </c>
      <c r="F1301" s="141" t="s">
        <v>1756</v>
      </c>
      <c r="G1301" s="154" t="str">
        <f t="shared" si="221"/>
        <v>/</v>
      </c>
      <c r="H1301" s="141" t="str">
        <f t="shared" si="222"/>
        <v>/</v>
      </c>
      <c r="I1301" s="139" t="e">
        <f t="shared" si="216"/>
        <v>#NUM!</v>
      </c>
      <c r="J1301" s="139" t="e">
        <f t="shared" si="217"/>
        <v>#NUM!</v>
      </c>
      <c r="K1301" s="155">
        <f t="shared" si="220"/>
        <v>-1</v>
      </c>
      <c r="N1301" s="139">
        <f t="shared" si="218"/>
        <v>0</v>
      </c>
      <c r="O1301" s="139">
        <f t="shared" si="219"/>
        <v>1</v>
      </c>
      <c r="Q1301" s="186"/>
      <c r="R1301" s="186" t="s">
        <v>873</v>
      </c>
      <c r="S1301" s="139"/>
      <c r="V1301" s="139"/>
    </row>
    <row r="1302" spans="4:22">
      <c r="D1302" s="139"/>
      <c r="E1302" s="141" t="s">
        <v>1829</v>
      </c>
      <c r="F1302" s="141" t="s">
        <v>1756</v>
      </c>
      <c r="G1302" s="154" t="str">
        <f t="shared" si="221"/>
        <v>/</v>
      </c>
      <c r="H1302" s="141" t="str">
        <f t="shared" si="222"/>
        <v>/</v>
      </c>
      <c r="I1302" s="139" t="e">
        <f t="shared" si="216"/>
        <v>#NUM!</v>
      </c>
      <c r="J1302" s="139" t="e">
        <f t="shared" si="217"/>
        <v>#NUM!</v>
      </c>
      <c r="K1302" s="155">
        <f t="shared" si="220"/>
        <v>-1</v>
      </c>
      <c r="N1302" s="139">
        <f t="shared" si="218"/>
        <v>0</v>
      </c>
      <c r="O1302" s="139">
        <f t="shared" si="219"/>
        <v>1</v>
      </c>
      <c r="Q1302" s="186"/>
      <c r="R1302" s="186" t="s">
        <v>873</v>
      </c>
      <c r="S1302" s="139"/>
      <c r="V1302" s="139"/>
    </row>
    <row r="1303" spans="4:22">
      <c r="D1303" s="139"/>
      <c r="E1303" s="141" t="s">
        <v>1829</v>
      </c>
      <c r="F1303" s="141" t="s">
        <v>1756</v>
      </c>
      <c r="G1303" s="154" t="str">
        <f t="shared" si="221"/>
        <v>/</v>
      </c>
      <c r="H1303" s="141" t="str">
        <f t="shared" si="222"/>
        <v>/</v>
      </c>
      <c r="I1303" s="139" t="e">
        <f t="shared" si="216"/>
        <v>#NUM!</v>
      </c>
      <c r="J1303" s="139" t="e">
        <f t="shared" si="217"/>
        <v>#NUM!</v>
      </c>
      <c r="K1303" s="155">
        <f t="shared" si="220"/>
        <v>-1</v>
      </c>
      <c r="N1303" s="139">
        <f t="shared" si="218"/>
        <v>0</v>
      </c>
      <c r="O1303" s="139">
        <f t="shared" si="219"/>
        <v>1</v>
      </c>
      <c r="Q1303" s="186"/>
      <c r="R1303" s="186" t="s">
        <v>873</v>
      </c>
      <c r="S1303" s="139"/>
      <c r="V1303" s="139"/>
    </row>
    <row r="1304" spans="4:22">
      <c r="D1304" s="139"/>
      <c r="E1304" s="141" t="s">
        <v>1829</v>
      </c>
      <c r="F1304" s="141" t="s">
        <v>1756</v>
      </c>
      <c r="G1304" s="154" t="str">
        <f t="shared" si="221"/>
        <v>/</v>
      </c>
      <c r="H1304" s="141" t="str">
        <f t="shared" si="222"/>
        <v>/</v>
      </c>
      <c r="I1304" s="139" t="e">
        <f t="shared" si="216"/>
        <v>#NUM!</v>
      </c>
      <c r="J1304" s="139" t="e">
        <f t="shared" si="217"/>
        <v>#NUM!</v>
      </c>
      <c r="K1304" s="155">
        <f t="shared" si="220"/>
        <v>-1</v>
      </c>
      <c r="N1304" s="139">
        <f t="shared" si="218"/>
        <v>0</v>
      </c>
      <c r="O1304" s="139">
        <f t="shared" si="219"/>
        <v>1</v>
      </c>
      <c r="Q1304" s="186"/>
      <c r="R1304" s="186" t="s">
        <v>873</v>
      </c>
      <c r="S1304" s="139"/>
      <c r="V1304" s="139"/>
    </row>
    <row r="1305" spans="4:22">
      <c r="D1305" s="139"/>
      <c r="E1305" s="141" t="s">
        <v>1829</v>
      </c>
      <c r="F1305" s="141" t="s">
        <v>1756</v>
      </c>
      <c r="G1305" s="154" t="str">
        <f t="shared" si="221"/>
        <v>/</v>
      </c>
      <c r="H1305" s="141" t="str">
        <f t="shared" si="222"/>
        <v>/</v>
      </c>
      <c r="I1305" s="139" t="e">
        <f t="shared" si="216"/>
        <v>#NUM!</v>
      </c>
      <c r="J1305" s="139" t="e">
        <f t="shared" si="217"/>
        <v>#NUM!</v>
      </c>
      <c r="K1305" s="155">
        <f t="shared" si="220"/>
        <v>-1</v>
      </c>
      <c r="N1305" s="139">
        <f t="shared" si="218"/>
        <v>0</v>
      </c>
      <c r="O1305" s="139">
        <f t="shared" si="219"/>
        <v>1</v>
      </c>
      <c r="Q1305" s="186"/>
      <c r="R1305" s="186" t="s">
        <v>873</v>
      </c>
      <c r="S1305" s="139"/>
      <c r="V1305" s="139"/>
    </row>
    <row r="1306" spans="4:22">
      <c r="D1306" s="139"/>
      <c r="E1306" s="141" t="s">
        <v>1829</v>
      </c>
      <c r="F1306" s="141" t="s">
        <v>1756</v>
      </c>
      <c r="G1306" s="154" t="str">
        <f t="shared" si="221"/>
        <v>/</v>
      </c>
      <c r="H1306" s="141" t="str">
        <f t="shared" si="222"/>
        <v>/</v>
      </c>
      <c r="I1306" s="139" t="e">
        <f t="shared" si="216"/>
        <v>#NUM!</v>
      </c>
      <c r="J1306" s="139" t="e">
        <f t="shared" si="217"/>
        <v>#NUM!</v>
      </c>
      <c r="K1306" s="155">
        <f t="shared" si="220"/>
        <v>-1</v>
      </c>
      <c r="N1306" s="139">
        <f t="shared" si="218"/>
        <v>0</v>
      </c>
      <c r="O1306" s="139">
        <f t="shared" si="219"/>
        <v>1</v>
      </c>
      <c r="Q1306" s="186"/>
      <c r="R1306" s="186" t="s">
        <v>873</v>
      </c>
      <c r="S1306" s="139"/>
      <c r="V1306" s="139"/>
    </row>
    <row r="1307" spans="4:22">
      <c r="D1307" s="139"/>
      <c r="E1307" s="141" t="s">
        <v>1829</v>
      </c>
      <c r="F1307" s="141" t="s">
        <v>1756</v>
      </c>
      <c r="G1307" s="154" t="str">
        <f t="shared" si="221"/>
        <v>/</v>
      </c>
      <c r="H1307" s="141" t="str">
        <f t="shared" si="222"/>
        <v>/</v>
      </c>
      <c r="I1307" s="139" t="e">
        <f t="shared" si="216"/>
        <v>#NUM!</v>
      </c>
      <c r="J1307" s="139" t="e">
        <f t="shared" si="217"/>
        <v>#NUM!</v>
      </c>
      <c r="K1307" s="155">
        <f t="shared" si="220"/>
        <v>-1</v>
      </c>
      <c r="N1307" s="139">
        <f t="shared" si="218"/>
        <v>0</v>
      </c>
      <c r="O1307" s="139">
        <f t="shared" si="219"/>
        <v>1</v>
      </c>
      <c r="Q1307" s="186"/>
      <c r="R1307" s="186" t="s">
        <v>873</v>
      </c>
      <c r="S1307" s="139"/>
      <c r="V1307" s="139"/>
    </row>
    <row r="1308" spans="4:22">
      <c r="D1308" s="139"/>
      <c r="E1308" s="141" t="s">
        <v>1829</v>
      </c>
      <c r="F1308" s="141" t="s">
        <v>1756</v>
      </c>
      <c r="G1308" s="154" t="str">
        <f t="shared" si="221"/>
        <v>/</v>
      </c>
      <c r="H1308" s="141" t="str">
        <f t="shared" si="222"/>
        <v>/</v>
      </c>
      <c r="I1308" s="139" t="e">
        <f t="shared" si="216"/>
        <v>#NUM!</v>
      </c>
      <c r="J1308" s="139" t="e">
        <f t="shared" si="217"/>
        <v>#NUM!</v>
      </c>
      <c r="K1308" s="155">
        <f t="shared" si="220"/>
        <v>-1</v>
      </c>
      <c r="N1308" s="139">
        <f t="shared" si="218"/>
        <v>0</v>
      </c>
      <c r="O1308" s="139">
        <f t="shared" si="219"/>
        <v>1</v>
      </c>
      <c r="Q1308" s="186"/>
      <c r="R1308" s="186" t="s">
        <v>873</v>
      </c>
      <c r="S1308" s="139"/>
      <c r="V1308" s="139"/>
    </row>
    <row r="1309" spans="4:22">
      <c r="D1309" s="139"/>
      <c r="E1309" s="141" t="s">
        <v>1829</v>
      </c>
      <c r="F1309" s="141" t="s">
        <v>1756</v>
      </c>
      <c r="G1309" s="154" t="str">
        <f t="shared" si="221"/>
        <v>/</v>
      </c>
      <c r="H1309" s="141" t="str">
        <f t="shared" si="222"/>
        <v>/</v>
      </c>
      <c r="I1309" s="139" t="e">
        <f t="shared" si="216"/>
        <v>#NUM!</v>
      </c>
      <c r="J1309" s="139" t="e">
        <f t="shared" si="217"/>
        <v>#NUM!</v>
      </c>
      <c r="K1309" s="155">
        <f t="shared" si="220"/>
        <v>-1</v>
      </c>
      <c r="N1309" s="139">
        <f t="shared" si="218"/>
        <v>0</v>
      </c>
      <c r="O1309" s="139">
        <f t="shared" si="219"/>
        <v>1</v>
      </c>
      <c r="Q1309" s="186"/>
      <c r="R1309" s="186" t="s">
        <v>873</v>
      </c>
      <c r="S1309" s="139"/>
      <c r="V1309" s="139"/>
    </row>
    <row r="1310" spans="4:22">
      <c r="D1310" s="139"/>
      <c r="E1310" s="141" t="s">
        <v>1829</v>
      </c>
      <c r="F1310" s="141" t="s">
        <v>1756</v>
      </c>
      <c r="G1310" s="154" t="str">
        <f t="shared" si="221"/>
        <v>/</v>
      </c>
      <c r="H1310" s="141" t="str">
        <f t="shared" si="222"/>
        <v>/</v>
      </c>
      <c r="I1310" s="139" t="e">
        <f t="shared" si="216"/>
        <v>#NUM!</v>
      </c>
      <c r="J1310" s="139" t="e">
        <f t="shared" si="217"/>
        <v>#NUM!</v>
      </c>
      <c r="K1310" s="155">
        <f t="shared" si="220"/>
        <v>-1</v>
      </c>
      <c r="N1310" s="139">
        <f t="shared" si="218"/>
        <v>0</v>
      </c>
      <c r="O1310" s="139">
        <f t="shared" si="219"/>
        <v>1</v>
      </c>
      <c r="Q1310" s="186"/>
      <c r="R1310" s="186" t="s">
        <v>873</v>
      </c>
      <c r="S1310" s="139"/>
      <c r="V1310" s="139"/>
    </row>
    <row r="1311" spans="4:22">
      <c r="D1311" s="139"/>
      <c r="E1311" s="141" t="s">
        <v>1829</v>
      </c>
      <c r="F1311" s="141" t="s">
        <v>1756</v>
      </c>
      <c r="G1311" s="154" t="str">
        <f t="shared" si="221"/>
        <v>/</v>
      </c>
      <c r="H1311" s="141" t="str">
        <f t="shared" si="222"/>
        <v>/</v>
      </c>
      <c r="I1311" s="139" t="e">
        <f t="shared" si="216"/>
        <v>#NUM!</v>
      </c>
      <c r="J1311" s="139" t="e">
        <f t="shared" si="217"/>
        <v>#NUM!</v>
      </c>
      <c r="K1311" s="155">
        <f t="shared" si="220"/>
        <v>-1</v>
      </c>
      <c r="N1311" s="139">
        <f t="shared" si="218"/>
        <v>0</v>
      </c>
      <c r="O1311" s="139">
        <f t="shared" si="219"/>
        <v>1</v>
      </c>
      <c r="Q1311" s="186"/>
      <c r="R1311" s="186" t="s">
        <v>873</v>
      </c>
      <c r="S1311" s="139"/>
      <c r="V1311" s="139"/>
    </row>
    <row r="1312" spans="4:22">
      <c r="D1312" s="139"/>
      <c r="E1312" s="141" t="s">
        <v>1829</v>
      </c>
      <c r="F1312" s="141" t="s">
        <v>1756</v>
      </c>
      <c r="G1312" s="154" t="str">
        <f t="shared" si="221"/>
        <v>/</v>
      </c>
      <c r="H1312" s="141" t="str">
        <f t="shared" si="222"/>
        <v>/</v>
      </c>
      <c r="I1312" s="139" t="e">
        <f t="shared" si="216"/>
        <v>#NUM!</v>
      </c>
      <c r="J1312" s="139" t="e">
        <f t="shared" si="217"/>
        <v>#NUM!</v>
      </c>
      <c r="K1312" s="155">
        <f t="shared" si="220"/>
        <v>-1</v>
      </c>
      <c r="N1312" s="139">
        <f t="shared" si="218"/>
        <v>0</v>
      </c>
      <c r="O1312" s="139">
        <f t="shared" si="219"/>
        <v>1</v>
      </c>
      <c r="Q1312" s="186"/>
      <c r="R1312" s="186" t="s">
        <v>873</v>
      </c>
      <c r="S1312" s="139"/>
      <c r="V1312" s="139"/>
    </row>
    <row r="1313" spans="4:22">
      <c r="D1313" s="139"/>
      <c r="E1313" s="141" t="s">
        <v>1829</v>
      </c>
      <c r="F1313" s="141" t="s">
        <v>1756</v>
      </c>
      <c r="G1313" s="154" t="str">
        <f t="shared" si="221"/>
        <v>/</v>
      </c>
      <c r="H1313" s="141" t="str">
        <f t="shared" si="222"/>
        <v>/</v>
      </c>
      <c r="I1313" s="139" t="e">
        <f t="shared" si="216"/>
        <v>#NUM!</v>
      </c>
      <c r="J1313" s="139" t="e">
        <f t="shared" si="217"/>
        <v>#NUM!</v>
      </c>
      <c r="K1313" s="155">
        <f t="shared" si="220"/>
        <v>-1</v>
      </c>
      <c r="N1313" s="139">
        <f t="shared" si="218"/>
        <v>0</v>
      </c>
      <c r="O1313" s="139">
        <f t="shared" si="219"/>
        <v>1</v>
      </c>
      <c r="Q1313" s="186"/>
      <c r="R1313" s="186" t="s">
        <v>873</v>
      </c>
      <c r="S1313" s="139"/>
      <c r="V1313" s="139"/>
    </row>
    <row r="1314" spans="4:22">
      <c r="D1314" s="139"/>
      <c r="E1314" s="141" t="s">
        <v>1829</v>
      </c>
      <c r="F1314" s="141" t="s">
        <v>1756</v>
      </c>
      <c r="G1314" s="154" t="str">
        <f t="shared" si="221"/>
        <v>/</v>
      </c>
      <c r="H1314" s="141" t="str">
        <f t="shared" si="222"/>
        <v>/</v>
      </c>
      <c r="I1314" s="139" t="e">
        <f t="shared" si="216"/>
        <v>#NUM!</v>
      </c>
      <c r="J1314" s="139" t="e">
        <f t="shared" si="217"/>
        <v>#NUM!</v>
      </c>
      <c r="K1314" s="155">
        <f t="shared" si="220"/>
        <v>-1</v>
      </c>
      <c r="N1314" s="139">
        <f t="shared" si="218"/>
        <v>0</v>
      </c>
      <c r="O1314" s="139">
        <f t="shared" si="219"/>
        <v>1</v>
      </c>
      <c r="Q1314" s="186"/>
      <c r="R1314" s="186" t="s">
        <v>873</v>
      </c>
      <c r="S1314" s="139"/>
      <c r="V1314" s="139"/>
    </row>
    <row r="1315" spans="4:22">
      <c r="D1315" s="139"/>
      <c r="E1315" s="141" t="s">
        <v>1829</v>
      </c>
      <c r="F1315" s="141" t="s">
        <v>1756</v>
      </c>
      <c r="G1315" s="154" t="str">
        <f t="shared" si="221"/>
        <v>/</v>
      </c>
      <c r="H1315" s="141" t="str">
        <f t="shared" si="222"/>
        <v>/</v>
      </c>
      <c r="I1315" s="139" t="e">
        <f t="shared" si="216"/>
        <v>#NUM!</v>
      </c>
      <c r="J1315" s="139" t="e">
        <f t="shared" si="217"/>
        <v>#NUM!</v>
      </c>
      <c r="K1315" s="155">
        <f t="shared" si="220"/>
        <v>-1</v>
      </c>
      <c r="N1315" s="139">
        <f t="shared" si="218"/>
        <v>0</v>
      </c>
      <c r="O1315" s="139">
        <f t="shared" si="219"/>
        <v>1</v>
      </c>
      <c r="Q1315" s="186"/>
      <c r="R1315" s="186" t="s">
        <v>873</v>
      </c>
      <c r="S1315" s="139"/>
      <c r="V1315" s="139"/>
    </row>
    <row r="1316" spans="4:22">
      <c r="D1316" s="139"/>
      <c r="E1316" s="141" t="s">
        <v>1829</v>
      </c>
      <c r="F1316" s="141" t="s">
        <v>1756</v>
      </c>
      <c r="G1316" s="154" t="str">
        <f t="shared" si="221"/>
        <v>/</v>
      </c>
      <c r="H1316" s="141" t="str">
        <f t="shared" si="222"/>
        <v>/</v>
      </c>
      <c r="I1316" s="139" t="e">
        <f t="shared" si="216"/>
        <v>#NUM!</v>
      </c>
      <c r="J1316" s="139" t="e">
        <f t="shared" si="217"/>
        <v>#NUM!</v>
      </c>
      <c r="K1316" s="155">
        <f t="shared" si="220"/>
        <v>-1</v>
      </c>
      <c r="N1316" s="139">
        <f t="shared" si="218"/>
        <v>0</v>
      </c>
      <c r="O1316" s="139">
        <f t="shared" si="219"/>
        <v>1</v>
      </c>
      <c r="Q1316" s="186"/>
      <c r="R1316" s="186" t="s">
        <v>873</v>
      </c>
      <c r="S1316" s="139"/>
      <c r="V1316" s="139"/>
    </row>
    <row r="1317" spans="4:22">
      <c r="D1317" s="139"/>
      <c r="E1317" s="141" t="s">
        <v>1829</v>
      </c>
      <c r="F1317" s="141" t="s">
        <v>1756</v>
      </c>
      <c r="G1317" s="154" t="str">
        <f t="shared" si="221"/>
        <v>/</v>
      </c>
      <c r="H1317" s="141" t="str">
        <f t="shared" si="222"/>
        <v>/</v>
      </c>
      <c r="I1317" s="139" t="e">
        <f t="shared" si="216"/>
        <v>#NUM!</v>
      </c>
      <c r="J1317" s="139" t="e">
        <f t="shared" si="217"/>
        <v>#NUM!</v>
      </c>
      <c r="K1317" s="155">
        <f t="shared" si="220"/>
        <v>-1</v>
      </c>
      <c r="N1317" s="139">
        <f t="shared" si="218"/>
        <v>0</v>
      </c>
      <c r="O1317" s="139">
        <f t="shared" si="219"/>
        <v>1</v>
      </c>
      <c r="Q1317" s="186"/>
      <c r="R1317" s="186" t="s">
        <v>873</v>
      </c>
      <c r="S1317" s="139"/>
      <c r="V1317" s="139"/>
    </row>
    <row r="1318" spans="4:22">
      <c r="D1318" s="139"/>
      <c r="E1318" s="141" t="s">
        <v>1829</v>
      </c>
      <c r="F1318" s="141" t="s">
        <v>1756</v>
      </c>
      <c r="G1318" s="154" t="str">
        <f t="shared" si="221"/>
        <v>/</v>
      </c>
      <c r="H1318" s="141" t="str">
        <f t="shared" si="222"/>
        <v>/</v>
      </c>
      <c r="I1318" s="139" t="e">
        <f t="shared" si="216"/>
        <v>#NUM!</v>
      </c>
      <c r="J1318" s="139" t="e">
        <f t="shared" si="217"/>
        <v>#NUM!</v>
      </c>
      <c r="K1318" s="155">
        <f t="shared" si="220"/>
        <v>-1</v>
      </c>
      <c r="N1318" s="139">
        <f t="shared" si="218"/>
        <v>0</v>
      </c>
      <c r="O1318" s="139">
        <f t="shared" si="219"/>
        <v>1</v>
      </c>
      <c r="Q1318" s="186"/>
      <c r="R1318" s="186" t="s">
        <v>873</v>
      </c>
      <c r="S1318" s="139"/>
      <c r="V1318" s="139"/>
    </row>
    <row r="1319" spans="4:22">
      <c r="D1319" s="139"/>
      <c r="E1319" s="141" t="s">
        <v>1829</v>
      </c>
      <c r="F1319" s="141" t="s">
        <v>1756</v>
      </c>
      <c r="G1319" s="154" t="str">
        <f t="shared" si="221"/>
        <v>/</v>
      </c>
      <c r="H1319" s="141" t="str">
        <f t="shared" si="222"/>
        <v>/</v>
      </c>
      <c r="I1319" s="139" t="e">
        <f t="shared" si="216"/>
        <v>#NUM!</v>
      </c>
      <c r="J1319" s="139" t="e">
        <f t="shared" si="217"/>
        <v>#NUM!</v>
      </c>
      <c r="K1319" s="155">
        <f t="shared" si="220"/>
        <v>-1</v>
      </c>
      <c r="N1319" s="139">
        <f t="shared" si="218"/>
        <v>0</v>
      </c>
      <c r="O1319" s="139">
        <f t="shared" si="219"/>
        <v>1</v>
      </c>
      <c r="Q1319" s="186"/>
      <c r="R1319" s="186" t="s">
        <v>873</v>
      </c>
      <c r="S1319" s="139"/>
      <c r="V1319" s="139"/>
    </row>
    <row r="1320" spans="4:22">
      <c r="D1320" s="139"/>
      <c r="E1320" s="141" t="s">
        <v>1829</v>
      </c>
      <c r="F1320" s="141" t="s">
        <v>1756</v>
      </c>
      <c r="G1320" s="154" t="str">
        <f t="shared" si="221"/>
        <v>/</v>
      </c>
      <c r="H1320" s="141" t="str">
        <f t="shared" si="222"/>
        <v>/</v>
      </c>
      <c r="I1320" s="139" t="e">
        <f t="shared" si="216"/>
        <v>#NUM!</v>
      </c>
      <c r="J1320" s="139" t="e">
        <f t="shared" si="217"/>
        <v>#NUM!</v>
      </c>
      <c r="K1320" s="155">
        <f t="shared" si="220"/>
        <v>-1</v>
      </c>
      <c r="N1320" s="139">
        <f t="shared" si="218"/>
        <v>0</v>
      </c>
      <c r="O1320" s="139">
        <f t="shared" si="219"/>
        <v>1</v>
      </c>
      <c r="Q1320" s="186"/>
      <c r="R1320" s="186" t="s">
        <v>873</v>
      </c>
      <c r="S1320" s="139"/>
      <c r="V1320" s="139"/>
    </row>
    <row r="1321" spans="4:22">
      <c r="D1321" s="139"/>
      <c r="E1321" s="141" t="s">
        <v>1829</v>
      </c>
      <c r="F1321" s="141" t="s">
        <v>1756</v>
      </c>
      <c r="G1321" s="154" t="str">
        <f t="shared" si="221"/>
        <v>/</v>
      </c>
      <c r="H1321" s="141" t="str">
        <f t="shared" si="222"/>
        <v>/</v>
      </c>
      <c r="I1321" s="139" t="e">
        <f t="shared" si="216"/>
        <v>#NUM!</v>
      </c>
      <c r="J1321" s="139" t="e">
        <f t="shared" si="217"/>
        <v>#NUM!</v>
      </c>
      <c r="K1321" s="155">
        <f t="shared" si="220"/>
        <v>-1</v>
      </c>
      <c r="N1321" s="139">
        <f t="shared" si="218"/>
        <v>0</v>
      </c>
      <c r="O1321" s="139">
        <f t="shared" si="219"/>
        <v>1</v>
      </c>
      <c r="Q1321" s="186"/>
      <c r="R1321" s="186" t="s">
        <v>873</v>
      </c>
      <c r="S1321" s="139"/>
      <c r="V1321" s="139"/>
    </row>
    <row r="1322" spans="4:22">
      <c r="D1322" s="139"/>
      <c r="E1322" s="141" t="s">
        <v>1829</v>
      </c>
      <c r="F1322" s="141" t="s">
        <v>1756</v>
      </c>
      <c r="G1322" s="154" t="str">
        <f t="shared" si="221"/>
        <v>/</v>
      </c>
      <c r="H1322" s="141" t="str">
        <f t="shared" si="222"/>
        <v>/</v>
      </c>
      <c r="I1322" s="139" t="e">
        <f t="shared" si="216"/>
        <v>#NUM!</v>
      </c>
      <c r="J1322" s="139" t="e">
        <f t="shared" si="217"/>
        <v>#NUM!</v>
      </c>
      <c r="K1322" s="155">
        <f t="shared" si="220"/>
        <v>-1</v>
      </c>
      <c r="N1322" s="139">
        <f t="shared" si="218"/>
        <v>0</v>
      </c>
      <c r="O1322" s="139">
        <f t="shared" si="219"/>
        <v>1</v>
      </c>
      <c r="Q1322" s="186"/>
      <c r="R1322" s="186" t="s">
        <v>873</v>
      </c>
      <c r="S1322" s="139"/>
      <c r="V1322" s="139"/>
    </row>
    <row r="1323" spans="4:22">
      <c r="D1323" s="139"/>
      <c r="E1323" s="141" t="s">
        <v>1829</v>
      </c>
      <c r="F1323" s="141" t="s">
        <v>1756</v>
      </c>
      <c r="G1323" s="154" t="str">
        <f t="shared" si="221"/>
        <v>/</v>
      </c>
      <c r="H1323" s="141" t="str">
        <f t="shared" si="222"/>
        <v>/</v>
      </c>
      <c r="I1323" s="139" t="e">
        <f t="shared" si="216"/>
        <v>#NUM!</v>
      </c>
      <c r="J1323" s="139" t="e">
        <f t="shared" si="217"/>
        <v>#NUM!</v>
      </c>
      <c r="K1323" s="155">
        <f t="shared" si="220"/>
        <v>-1</v>
      </c>
      <c r="N1323" s="139">
        <f t="shared" si="218"/>
        <v>0</v>
      </c>
      <c r="O1323" s="139">
        <f t="shared" si="219"/>
        <v>1</v>
      </c>
      <c r="Q1323" s="186"/>
      <c r="R1323" s="186" t="s">
        <v>873</v>
      </c>
      <c r="S1323" s="139"/>
      <c r="V1323" s="139"/>
    </row>
    <row r="1324" spans="4:22">
      <c r="D1324" s="139"/>
      <c r="E1324" s="141" t="s">
        <v>1829</v>
      </c>
      <c r="F1324" s="141" t="s">
        <v>1756</v>
      </c>
      <c r="G1324" s="154" t="str">
        <f t="shared" si="221"/>
        <v>/</v>
      </c>
      <c r="H1324" s="141" t="str">
        <f t="shared" si="222"/>
        <v>/</v>
      </c>
      <c r="I1324" s="139" t="e">
        <f t="shared" si="216"/>
        <v>#NUM!</v>
      </c>
      <c r="J1324" s="139" t="e">
        <f t="shared" si="217"/>
        <v>#NUM!</v>
      </c>
      <c r="K1324" s="155">
        <f t="shared" si="220"/>
        <v>-1</v>
      </c>
      <c r="N1324" s="139">
        <f t="shared" si="218"/>
        <v>0</v>
      </c>
      <c r="O1324" s="139">
        <f t="shared" si="219"/>
        <v>1</v>
      </c>
      <c r="Q1324" s="186"/>
      <c r="R1324" s="186" t="s">
        <v>873</v>
      </c>
      <c r="S1324" s="139"/>
      <c r="V1324" s="139"/>
    </row>
    <row r="1325" spans="4:22">
      <c r="D1325" s="139"/>
      <c r="E1325" s="141" t="s">
        <v>1829</v>
      </c>
      <c r="F1325" s="141" t="s">
        <v>1756</v>
      </c>
      <c r="G1325" s="154" t="str">
        <f t="shared" si="221"/>
        <v>/</v>
      </c>
      <c r="H1325" s="141" t="str">
        <f t="shared" si="222"/>
        <v>/</v>
      </c>
      <c r="I1325" s="139" t="e">
        <f t="shared" si="216"/>
        <v>#NUM!</v>
      </c>
      <c r="J1325" s="139" t="e">
        <f t="shared" si="217"/>
        <v>#NUM!</v>
      </c>
      <c r="K1325" s="155">
        <f t="shared" si="220"/>
        <v>-1</v>
      </c>
      <c r="N1325" s="139">
        <f t="shared" si="218"/>
        <v>0</v>
      </c>
      <c r="O1325" s="139">
        <f t="shared" si="219"/>
        <v>1</v>
      </c>
      <c r="Q1325" s="186"/>
      <c r="R1325" s="186" t="s">
        <v>873</v>
      </c>
      <c r="S1325" s="139"/>
      <c r="V1325" s="139"/>
    </row>
    <row r="1326" spans="4:22">
      <c r="D1326" s="139"/>
      <c r="E1326" s="141" t="s">
        <v>1829</v>
      </c>
      <c r="F1326" s="141" t="s">
        <v>1756</v>
      </c>
      <c r="G1326" s="154" t="str">
        <f t="shared" si="221"/>
        <v>/</v>
      </c>
      <c r="H1326" s="141" t="str">
        <f t="shared" si="222"/>
        <v>/</v>
      </c>
      <c r="I1326" s="139" t="e">
        <f t="shared" si="216"/>
        <v>#NUM!</v>
      </c>
      <c r="J1326" s="139" t="e">
        <f t="shared" si="217"/>
        <v>#NUM!</v>
      </c>
      <c r="K1326" s="155">
        <f t="shared" si="220"/>
        <v>-1</v>
      </c>
      <c r="N1326" s="139">
        <f t="shared" si="218"/>
        <v>0</v>
      </c>
      <c r="O1326" s="139">
        <f t="shared" si="219"/>
        <v>1</v>
      </c>
      <c r="Q1326" s="186"/>
      <c r="R1326" s="186" t="s">
        <v>873</v>
      </c>
      <c r="S1326" s="139"/>
      <c r="V1326" s="139"/>
    </row>
    <row r="1327" spans="4:22">
      <c r="D1327" s="139"/>
      <c r="E1327" s="141" t="s">
        <v>1829</v>
      </c>
      <c r="F1327" s="141" t="s">
        <v>1756</v>
      </c>
      <c r="G1327" s="154" t="str">
        <f t="shared" si="221"/>
        <v>/</v>
      </c>
      <c r="H1327" s="141" t="str">
        <f t="shared" si="222"/>
        <v>/</v>
      </c>
      <c r="I1327" s="139" t="e">
        <f t="shared" si="216"/>
        <v>#NUM!</v>
      </c>
      <c r="J1327" s="139" t="e">
        <f t="shared" si="217"/>
        <v>#NUM!</v>
      </c>
      <c r="K1327" s="155">
        <f t="shared" si="220"/>
        <v>-1</v>
      </c>
      <c r="N1327" s="139">
        <f t="shared" si="218"/>
        <v>0</v>
      </c>
      <c r="O1327" s="139">
        <f t="shared" si="219"/>
        <v>1</v>
      </c>
      <c r="Q1327" s="186"/>
      <c r="R1327" s="186" t="s">
        <v>873</v>
      </c>
      <c r="S1327" s="139"/>
      <c r="V1327" s="139"/>
    </row>
    <row r="1328" spans="4:22">
      <c r="D1328" s="139"/>
      <c r="E1328" s="141" t="s">
        <v>1829</v>
      </c>
      <c r="F1328" s="141" t="s">
        <v>1756</v>
      </c>
      <c r="G1328" s="154" t="str">
        <f t="shared" si="221"/>
        <v>/</v>
      </c>
      <c r="H1328" s="141" t="str">
        <f t="shared" si="222"/>
        <v>/</v>
      </c>
      <c r="I1328" s="139" t="e">
        <f t="shared" si="216"/>
        <v>#NUM!</v>
      </c>
      <c r="J1328" s="139" t="e">
        <f t="shared" si="217"/>
        <v>#NUM!</v>
      </c>
      <c r="K1328" s="155">
        <f t="shared" si="220"/>
        <v>-1</v>
      </c>
      <c r="N1328" s="139">
        <f t="shared" si="218"/>
        <v>0</v>
      </c>
      <c r="O1328" s="139">
        <f t="shared" si="219"/>
        <v>1</v>
      </c>
      <c r="Q1328" s="186"/>
      <c r="R1328" s="186" t="s">
        <v>873</v>
      </c>
      <c r="S1328" s="139"/>
      <c r="V1328" s="139"/>
    </row>
    <row r="1329" spans="4:22">
      <c r="D1329" s="139"/>
      <c r="E1329" s="141" t="s">
        <v>1829</v>
      </c>
      <c r="F1329" s="141" t="s">
        <v>1756</v>
      </c>
      <c r="G1329" s="154" t="str">
        <f t="shared" si="221"/>
        <v>/</v>
      </c>
      <c r="H1329" s="141" t="str">
        <f t="shared" si="222"/>
        <v>/</v>
      </c>
      <c r="I1329" s="139" t="e">
        <f t="shared" si="216"/>
        <v>#NUM!</v>
      </c>
      <c r="J1329" s="139" t="e">
        <f t="shared" si="217"/>
        <v>#NUM!</v>
      </c>
      <c r="K1329" s="155">
        <f t="shared" si="220"/>
        <v>-1</v>
      </c>
      <c r="N1329" s="139">
        <f t="shared" si="218"/>
        <v>0</v>
      </c>
      <c r="O1329" s="139">
        <f t="shared" si="219"/>
        <v>1</v>
      </c>
      <c r="Q1329" s="186"/>
      <c r="R1329" s="186" t="s">
        <v>873</v>
      </c>
      <c r="S1329" s="139"/>
      <c r="V1329" s="139"/>
    </row>
    <row r="1330" spans="4:22">
      <c r="D1330" s="139"/>
      <c r="E1330" s="141" t="s">
        <v>1829</v>
      </c>
      <c r="F1330" s="141" t="s">
        <v>1756</v>
      </c>
      <c r="G1330" s="154" t="str">
        <f t="shared" si="221"/>
        <v>/</v>
      </c>
      <c r="H1330" s="141" t="str">
        <f t="shared" si="222"/>
        <v>/</v>
      </c>
      <c r="I1330" s="139" t="e">
        <f t="shared" si="216"/>
        <v>#NUM!</v>
      </c>
      <c r="J1330" s="139" t="e">
        <f t="shared" si="217"/>
        <v>#NUM!</v>
      </c>
      <c r="K1330" s="155">
        <f t="shared" si="220"/>
        <v>-1</v>
      </c>
      <c r="N1330" s="139">
        <f t="shared" si="218"/>
        <v>0</v>
      </c>
      <c r="O1330" s="139">
        <f t="shared" si="219"/>
        <v>1</v>
      </c>
      <c r="Q1330" s="186"/>
      <c r="R1330" s="186" t="s">
        <v>873</v>
      </c>
      <c r="S1330" s="139"/>
      <c r="V1330" s="139"/>
    </row>
    <row r="1331" spans="4:22">
      <c r="D1331" s="139"/>
      <c r="E1331" s="141" t="s">
        <v>1829</v>
      </c>
      <c r="F1331" s="141" t="s">
        <v>1756</v>
      </c>
      <c r="G1331" s="154" t="str">
        <f t="shared" si="221"/>
        <v>/</v>
      </c>
      <c r="H1331" s="141" t="str">
        <f t="shared" si="222"/>
        <v>/</v>
      </c>
      <c r="I1331" s="139" t="e">
        <f t="shared" ref="I1331:I1394" si="223">DAY(K1331)</f>
        <v>#NUM!</v>
      </c>
      <c r="J1331" s="139" t="e">
        <f t="shared" ref="J1331:J1394" si="224">MONTH(K1331)</f>
        <v>#NUM!</v>
      </c>
      <c r="K1331" s="155">
        <f t="shared" si="220"/>
        <v>-1</v>
      </c>
      <c r="N1331" s="139">
        <f t="shared" ref="N1331:N1394" si="225">DAY(P1331)</f>
        <v>0</v>
      </c>
      <c r="O1331" s="139">
        <f t="shared" ref="O1331:O1394" si="226">MONTH(P1331)</f>
        <v>1</v>
      </c>
      <c r="Q1331" s="186"/>
      <c r="R1331" s="186" t="s">
        <v>873</v>
      </c>
      <c r="S1331" s="139"/>
      <c r="V1331" s="139"/>
    </row>
    <row r="1332" spans="4:22">
      <c r="D1332" s="139"/>
      <c r="E1332" s="141" t="s">
        <v>1829</v>
      </c>
      <c r="F1332" s="141" t="s">
        <v>1756</v>
      </c>
      <c r="G1332" s="154" t="str">
        <f t="shared" si="221"/>
        <v>/</v>
      </c>
      <c r="H1332" s="141" t="str">
        <f t="shared" si="222"/>
        <v>/</v>
      </c>
      <c r="I1332" s="139" t="e">
        <f t="shared" si="223"/>
        <v>#NUM!</v>
      </c>
      <c r="J1332" s="139" t="e">
        <f t="shared" si="224"/>
        <v>#NUM!</v>
      </c>
      <c r="K1332" s="155">
        <f t="shared" si="220"/>
        <v>-1</v>
      </c>
      <c r="N1332" s="139">
        <f t="shared" si="225"/>
        <v>0</v>
      </c>
      <c r="O1332" s="139">
        <f t="shared" si="226"/>
        <v>1</v>
      </c>
      <c r="Q1332" s="186"/>
      <c r="R1332" s="186" t="s">
        <v>873</v>
      </c>
      <c r="S1332" s="139"/>
      <c r="V1332" s="139"/>
    </row>
    <row r="1333" spans="4:22">
      <c r="D1333" s="139"/>
      <c r="E1333" s="141" t="s">
        <v>1829</v>
      </c>
      <c r="F1333" s="141" t="s">
        <v>1756</v>
      </c>
      <c r="G1333" s="154" t="str">
        <f t="shared" si="221"/>
        <v>/</v>
      </c>
      <c r="H1333" s="141" t="str">
        <f t="shared" si="222"/>
        <v>/</v>
      </c>
      <c r="I1333" s="139" t="e">
        <f t="shared" si="223"/>
        <v>#NUM!</v>
      </c>
      <c r="J1333" s="139" t="e">
        <f t="shared" si="224"/>
        <v>#NUM!</v>
      </c>
      <c r="K1333" s="155">
        <f t="shared" si="220"/>
        <v>-1</v>
      </c>
      <c r="N1333" s="139">
        <f t="shared" si="225"/>
        <v>0</v>
      </c>
      <c r="O1333" s="139">
        <f t="shared" si="226"/>
        <v>1</v>
      </c>
      <c r="Q1333" s="186"/>
      <c r="R1333" s="186" t="s">
        <v>873</v>
      </c>
      <c r="S1333" s="139"/>
      <c r="V1333" s="139"/>
    </row>
    <row r="1334" spans="4:22">
      <c r="D1334" s="139"/>
      <c r="E1334" s="141" t="s">
        <v>1829</v>
      </c>
      <c r="F1334" s="141" t="s">
        <v>1756</v>
      </c>
      <c r="G1334" s="154" t="str">
        <f t="shared" si="221"/>
        <v>/</v>
      </c>
      <c r="H1334" s="141" t="str">
        <f t="shared" si="222"/>
        <v>/</v>
      </c>
      <c r="I1334" s="139" t="e">
        <f t="shared" si="223"/>
        <v>#NUM!</v>
      </c>
      <c r="J1334" s="139" t="e">
        <f t="shared" si="224"/>
        <v>#NUM!</v>
      </c>
      <c r="K1334" s="155">
        <f t="shared" si="220"/>
        <v>-1</v>
      </c>
      <c r="N1334" s="139">
        <f t="shared" si="225"/>
        <v>0</v>
      </c>
      <c r="O1334" s="139">
        <f t="shared" si="226"/>
        <v>1</v>
      </c>
      <c r="Q1334" s="186"/>
      <c r="R1334" s="186" t="s">
        <v>873</v>
      </c>
      <c r="S1334" s="139"/>
      <c r="V1334" s="139"/>
    </row>
    <row r="1335" spans="4:22">
      <c r="D1335" s="139"/>
      <c r="E1335" s="141" t="s">
        <v>1829</v>
      </c>
      <c r="F1335" s="141" t="s">
        <v>1756</v>
      </c>
      <c r="G1335" s="154" t="str">
        <f t="shared" si="221"/>
        <v>/</v>
      </c>
      <c r="H1335" s="141" t="str">
        <f t="shared" si="222"/>
        <v>/</v>
      </c>
      <c r="I1335" s="139" t="e">
        <f t="shared" si="223"/>
        <v>#NUM!</v>
      </c>
      <c r="J1335" s="139" t="e">
        <f t="shared" si="224"/>
        <v>#NUM!</v>
      </c>
      <c r="K1335" s="155">
        <f t="shared" si="220"/>
        <v>-1</v>
      </c>
      <c r="N1335" s="139">
        <f t="shared" si="225"/>
        <v>0</v>
      </c>
      <c r="O1335" s="139">
        <f t="shared" si="226"/>
        <v>1</v>
      </c>
      <c r="Q1335" s="186"/>
      <c r="R1335" s="186" t="s">
        <v>873</v>
      </c>
      <c r="S1335" s="139"/>
      <c r="V1335" s="139"/>
    </row>
    <row r="1336" spans="4:22">
      <c r="D1336" s="139"/>
      <c r="E1336" s="141" t="s">
        <v>1829</v>
      </c>
      <c r="F1336" s="141" t="s">
        <v>1756</v>
      </c>
      <c r="G1336" s="154" t="str">
        <f t="shared" si="221"/>
        <v>/</v>
      </c>
      <c r="H1336" s="141" t="str">
        <f t="shared" si="222"/>
        <v>/</v>
      </c>
      <c r="I1336" s="139" t="e">
        <f t="shared" si="223"/>
        <v>#NUM!</v>
      </c>
      <c r="J1336" s="139" t="e">
        <f t="shared" si="224"/>
        <v>#NUM!</v>
      </c>
      <c r="K1336" s="155">
        <f t="shared" si="220"/>
        <v>-1</v>
      </c>
      <c r="N1336" s="139">
        <f t="shared" si="225"/>
        <v>0</v>
      </c>
      <c r="O1336" s="139">
        <f t="shared" si="226"/>
        <v>1</v>
      </c>
      <c r="Q1336" s="186"/>
      <c r="R1336" s="186" t="s">
        <v>873</v>
      </c>
      <c r="S1336" s="139"/>
      <c r="V1336" s="139"/>
    </row>
    <row r="1337" spans="4:22">
      <c r="D1337" s="139"/>
      <c r="E1337" s="141" t="s">
        <v>1829</v>
      </c>
      <c r="F1337" s="141" t="s">
        <v>1756</v>
      </c>
      <c r="G1337" s="154" t="str">
        <f t="shared" si="221"/>
        <v>/</v>
      </c>
      <c r="H1337" s="141" t="str">
        <f t="shared" si="222"/>
        <v>/</v>
      </c>
      <c r="I1337" s="139" t="e">
        <f t="shared" si="223"/>
        <v>#NUM!</v>
      </c>
      <c r="J1337" s="139" t="e">
        <f t="shared" si="224"/>
        <v>#NUM!</v>
      </c>
      <c r="K1337" s="155">
        <f t="shared" si="220"/>
        <v>-1</v>
      </c>
      <c r="N1337" s="139">
        <f t="shared" si="225"/>
        <v>0</v>
      </c>
      <c r="O1337" s="139">
        <f t="shared" si="226"/>
        <v>1</v>
      </c>
      <c r="Q1337" s="186"/>
      <c r="R1337" s="186" t="s">
        <v>873</v>
      </c>
      <c r="S1337" s="139"/>
      <c r="V1337" s="139"/>
    </row>
    <row r="1338" spans="4:22">
      <c r="D1338" s="139"/>
      <c r="E1338" s="141" t="s">
        <v>1829</v>
      </c>
      <c r="F1338" s="141" t="s">
        <v>1756</v>
      </c>
      <c r="G1338" s="154" t="str">
        <f t="shared" si="221"/>
        <v>/</v>
      </c>
      <c r="H1338" s="141" t="str">
        <f t="shared" si="222"/>
        <v>/</v>
      </c>
      <c r="I1338" s="139" t="e">
        <f t="shared" si="223"/>
        <v>#NUM!</v>
      </c>
      <c r="J1338" s="139" t="e">
        <f t="shared" si="224"/>
        <v>#NUM!</v>
      </c>
      <c r="K1338" s="155">
        <f t="shared" ref="K1338:K1401" si="227">P1338-1</f>
        <v>-1</v>
      </c>
      <c r="N1338" s="139">
        <f t="shared" si="225"/>
        <v>0</v>
      </c>
      <c r="O1338" s="139">
        <f t="shared" si="226"/>
        <v>1</v>
      </c>
      <c r="Q1338" s="186"/>
      <c r="R1338" s="186" t="s">
        <v>873</v>
      </c>
      <c r="S1338" s="139"/>
      <c r="V1338" s="139"/>
    </row>
    <row r="1339" spans="4:22">
      <c r="D1339" s="139"/>
      <c r="E1339" s="141" t="s">
        <v>1829</v>
      </c>
      <c r="F1339" s="141" t="s">
        <v>1756</v>
      </c>
      <c r="G1339" s="154" t="str">
        <f t="shared" si="221"/>
        <v>/</v>
      </c>
      <c r="H1339" s="141" t="str">
        <f t="shared" si="222"/>
        <v>/</v>
      </c>
      <c r="I1339" s="139" t="e">
        <f t="shared" si="223"/>
        <v>#NUM!</v>
      </c>
      <c r="J1339" s="139" t="e">
        <f t="shared" si="224"/>
        <v>#NUM!</v>
      </c>
      <c r="K1339" s="155">
        <f t="shared" si="227"/>
        <v>-1</v>
      </c>
      <c r="N1339" s="139">
        <f t="shared" si="225"/>
        <v>0</v>
      </c>
      <c r="O1339" s="139">
        <f t="shared" si="226"/>
        <v>1</v>
      </c>
      <c r="Q1339" s="186"/>
      <c r="R1339" s="186" t="s">
        <v>873</v>
      </c>
      <c r="S1339" s="139"/>
      <c r="V1339" s="139"/>
    </row>
    <row r="1340" spans="4:22">
      <c r="D1340" s="139"/>
      <c r="E1340" s="141" t="s">
        <v>1829</v>
      </c>
      <c r="F1340" s="141" t="s">
        <v>1756</v>
      </c>
      <c r="G1340" s="154" t="str">
        <f t="shared" si="221"/>
        <v>/</v>
      </c>
      <c r="H1340" s="141" t="str">
        <f t="shared" si="222"/>
        <v>/</v>
      </c>
      <c r="I1340" s="139" t="e">
        <f t="shared" si="223"/>
        <v>#NUM!</v>
      </c>
      <c r="J1340" s="139" t="e">
        <f t="shared" si="224"/>
        <v>#NUM!</v>
      </c>
      <c r="K1340" s="155">
        <f t="shared" si="227"/>
        <v>-1</v>
      </c>
      <c r="N1340" s="139">
        <f t="shared" si="225"/>
        <v>0</v>
      </c>
      <c r="O1340" s="139">
        <f t="shared" si="226"/>
        <v>1</v>
      </c>
      <c r="Q1340" s="186"/>
      <c r="R1340" s="186" t="s">
        <v>873</v>
      </c>
      <c r="S1340" s="139"/>
      <c r="V1340" s="139"/>
    </row>
    <row r="1341" spans="4:22">
      <c r="D1341" s="139"/>
      <c r="E1341" s="141" t="s">
        <v>1829</v>
      </c>
      <c r="F1341" s="141" t="s">
        <v>1756</v>
      </c>
      <c r="G1341" s="154" t="str">
        <f t="shared" si="221"/>
        <v>/</v>
      </c>
      <c r="H1341" s="141" t="str">
        <f t="shared" si="222"/>
        <v>/</v>
      </c>
      <c r="I1341" s="139" t="e">
        <f t="shared" si="223"/>
        <v>#NUM!</v>
      </c>
      <c r="J1341" s="139" t="e">
        <f t="shared" si="224"/>
        <v>#NUM!</v>
      </c>
      <c r="K1341" s="155">
        <f t="shared" si="227"/>
        <v>-1</v>
      </c>
      <c r="N1341" s="139">
        <f t="shared" si="225"/>
        <v>0</v>
      </c>
      <c r="O1341" s="139">
        <f t="shared" si="226"/>
        <v>1</v>
      </c>
      <c r="Q1341" s="186"/>
      <c r="R1341" s="186" t="s">
        <v>873</v>
      </c>
      <c r="S1341" s="139"/>
      <c r="V1341" s="139"/>
    </row>
    <row r="1342" spans="4:22">
      <c r="D1342" s="139"/>
      <c r="E1342" s="141" t="s">
        <v>1829</v>
      </c>
      <c r="F1342" s="141" t="s">
        <v>1756</v>
      </c>
      <c r="G1342" s="154" t="str">
        <f t="shared" si="221"/>
        <v>/</v>
      </c>
      <c r="H1342" s="141" t="str">
        <f t="shared" si="222"/>
        <v>/</v>
      </c>
      <c r="I1342" s="139" t="e">
        <f t="shared" si="223"/>
        <v>#NUM!</v>
      </c>
      <c r="J1342" s="139" t="e">
        <f t="shared" si="224"/>
        <v>#NUM!</v>
      </c>
      <c r="K1342" s="155">
        <f t="shared" si="227"/>
        <v>-1</v>
      </c>
      <c r="N1342" s="139">
        <f t="shared" si="225"/>
        <v>0</v>
      </c>
      <c r="O1342" s="139">
        <f t="shared" si="226"/>
        <v>1</v>
      </c>
      <c r="Q1342" s="186"/>
      <c r="R1342" s="186" t="s">
        <v>873</v>
      </c>
      <c r="S1342" s="139"/>
      <c r="V1342" s="139"/>
    </row>
    <row r="1343" spans="4:22">
      <c r="D1343" s="139"/>
      <c r="E1343" s="141" t="s">
        <v>1829</v>
      </c>
      <c r="F1343" s="141" t="s">
        <v>1756</v>
      </c>
      <c r="G1343" s="154" t="str">
        <f t="shared" si="221"/>
        <v>/</v>
      </c>
      <c r="H1343" s="141" t="str">
        <f t="shared" si="222"/>
        <v>/</v>
      </c>
      <c r="I1343" s="139" t="e">
        <f t="shared" si="223"/>
        <v>#NUM!</v>
      </c>
      <c r="J1343" s="139" t="e">
        <f t="shared" si="224"/>
        <v>#NUM!</v>
      </c>
      <c r="K1343" s="155">
        <f t="shared" si="227"/>
        <v>-1</v>
      </c>
      <c r="N1343" s="139">
        <f t="shared" si="225"/>
        <v>0</v>
      </c>
      <c r="O1343" s="139">
        <f t="shared" si="226"/>
        <v>1</v>
      </c>
      <c r="Q1343" s="186"/>
      <c r="R1343" s="186" t="s">
        <v>873</v>
      </c>
      <c r="S1343" s="139"/>
      <c r="V1343" s="139"/>
    </row>
    <row r="1344" spans="4:22">
      <c r="D1344" s="139"/>
      <c r="E1344" s="141" t="s">
        <v>1829</v>
      </c>
      <c r="F1344" s="141" t="s">
        <v>1756</v>
      </c>
      <c r="G1344" s="154" t="str">
        <f t="shared" si="221"/>
        <v>/</v>
      </c>
      <c r="H1344" s="141" t="str">
        <f t="shared" si="222"/>
        <v>/</v>
      </c>
      <c r="I1344" s="139" t="e">
        <f t="shared" si="223"/>
        <v>#NUM!</v>
      </c>
      <c r="J1344" s="139" t="e">
        <f t="shared" si="224"/>
        <v>#NUM!</v>
      </c>
      <c r="K1344" s="155">
        <f t="shared" si="227"/>
        <v>-1</v>
      </c>
      <c r="N1344" s="139">
        <f t="shared" si="225"/>
        <v>0</v>
      </c>
      <c r="O1344" s="139">
        <f t="shared" si="226"/>
        <v>1</v>
      </c>
      <c r="Q1344" s="186"/>
      <c r="R1344" s="186" t="s">
        <v>873</v>
      </c>
      <c r="S1344" s="139"/>
      <c r="V1344" s="139"/>
    </row>
    <row r="1345" spans="4:22">
      <c r="D1345" s="139"/>
      <c r="E1345" s="141" t="s">
        <v>1829</v>
      </c>
      <c r="F1345" s="141" t="s">
        <v>1756</v>
      </c>
      <c r="G1345" s="154" t="str">
        <f t="shared" ref="G1345:G1408" si="228">A1345&amp;"/"&amp;B1345</f>
        <v>/</v>
      </c>
      <c r="H1345" s="141" t="str">
        <f t="shared" ref="H1345:H1408" si="229">A1345&amp;"/"&amp;B1345</f>
        <v>/</v>
      </c>
      <c r="I1345" s="139" t="e">
        <f t="shared" si="223"/>
        <v>#NUM!</v>
      </c>
      <c r="J1345" s="139" t="e">
        <f t="shared" si="224"/>
        <v>#NUM!</v>
      </c>
      <c r="K1345" s="155">
        <f t="shared" si="227"/>
        <v>-1</v>
      </c>
      <c r="N1345" s="139">
        <f t="shared" si="225"/>
        <v>0</v>
      </c>
      <c r="O1345" s="139">
        <f t="shared" si="226"/>
        <v>1</v>
      </c>
      <c r="Q1345" s="186"/>
      <c r="R1345" s="186" t="s">
        <v>873</v>
      </c>
      <c r="S1345" s="139"/>
      <c r="V1345" s="139"/>
    </row>
    <row r="1346" spans="4:22">
      <c r="D1346" s="139"/>
      <c r="E1346" s="141" t="s">
        <v>1829</v>
      </c>
      <c r="F1346" s="141" t="s">
        <v>1756</v>
      </c>
      <c r="G1346" s="154" t="str">
        <f t="shared" si="228"/>
        <v>/</v>
      </c>
      <c r="H1346" s="141" t="str">
        <f t="shared" si="229"/>
        <v>/</v>
      </c>
      <c r="I1346" s="139" t="e">
        <f t="shared" si="223"/>
        <v>#NUM!</v>
      </c>
      <c r="J1346" s="139" t="e">
        <f t="shared" si="224"/>
        <v>#NUM!</v>
      </c>
      <c r="K1346" s="155">
        <f t="shared" si="227"/>
        <v>-1</v>
      </c>
      <c r="N1346" s="139">
        <f t="shared" si="225"/>
        <v>0</v>
      </c>
      <c r="O1346" s="139">
        <f t="shared" si="226"/>
        <v>1</v>
      </c>
      <c r="Q1346" s="186"/>
      <c r="R1346" s="186" t="s">
        <v>873</v>
      </c>
      <c r="S1346" s="139"/>
      <c r="V1346" s="139"/>
    </row>
    <row r="1347" spans="4:22">
      <c r="D1347" s="139"/>
      <c r="E1347" s="141" t="s">
        <v>1829</v>
      </c>
      <c r="F1347" s="141" t="s">
        <v>1756</v>
      </c>
      <c r="G1347" s="154" t="str">
        <f t="shared" si="228"/>
        <v>/</v>
      </c>
      <c r="H1347" s="141" t="str">
        <f t="shared" si="229"/>
        <v>/</v>
      </c>
      <c r="I1347" s="139" t="e">
        <f t="shared" si="223"/>
        <v>#NUM!</v>
      </c>
      <c r="J1347" s="139" t="e">
        <f t="shared" si="224"/>
        <v>#NUM!</v>
      </c>
      <c r="K1347" s="155">
        <f t="shared" si="227"/>
        <v>-1</v>
      </c>
      <c r="N1347" s="139">
        <f t="shared" si="225"/>
        <v>0</v>
      </c>
      <c r="O1347" s="139">
        <f t="shared" si="226"/>
        <v>1</v>
      </c>
      <c r="Q1347" s="186"/>
      <c r="R1347" s="186" t="s">
        <v>873</v>
      </c>
      <c r="S1347" s="139"/>
      <c r="V1347" s="139"/>
    </row>
    <row r="1348" spans="4:22">
      <c r="D1348" s="139"/>
      <c r="E1348" s="141" t="s">
        <v>1829</v>
      </c>
      <c r="F1348" s="141" t="s">
        <v>1756</v>
      </c>
      <c r="G1348" s="154" t="str">
        <f t="shared" si="228"/>
        <v>/</v>
      </c>
      <c r="H1348" s="141" t="str">
        <f t="shared" si="229"/>
        <v>/</v>
      </c>
      <c r="I1348" s="139" t="e">
        <f t="shared" si="223"/>
        <v>#NUM!</v>
      </c>
      <c r="J1348" s="139" t="e">
        <f t="shared" si="224"/>
        <v>#NUM!</v>
      </c>
      <c r="K1348" s="155">
        <f t="shared" si="227"/>
        <v>-1</v>
      </c>
      <c r="N1348" s="139">
        <f t="shared" si="225"/>
        <v>0</v>
      </c>
      <c r="O1348" s="139">
        <f t="shared" si="226"/>
        <v>1</v>
      </c>
      <c r="Q1348" s="186"/>
      <c r="R1348" s="186" t="s">
        <v>873</v>
      </c>
      <c r="S1348" s="139"/>
      <c r="V1348" s="139"/>
    </row>
    <row r="1349" spans="4:22">
      <c r="D1349" s="139"/>
      <c r="E1349" s="141" t="s">
        <v>1829</v>
      </c>
      <c r="F1349" s="141" t="s">
        <v>1756</v>
      </c>
      <c r="G1349" s="154" t="str">
        <f t="shared" si="228"/>
        <v>/</v>
      </c>
      <c r="H1349" s="141" t="str">
        <f t="shared" si="229"/>
        <v>/</v>
      </c>
      <c r="I1349" s="139" t="e">
        <f t="shared" si="223"/>
        <v>#NUM!</v>
      </c>
      <c r="J1349" s="139" t="e">
        <f t="shared" si="224"/>
        <v>#NUM!</v>
      </c>
      <c r="K1349" s="155">
        <f t="shared" si="227"/>
        <v>-1</v>
      </c>
      <c r="N1349" s="139">
        <f t="shared" si="225"/>
        <v>0</v>
      </c>
      <c r="O1349" s="139">
        <f t="shared" si="226"/>
        <v>1</v>
      </c>
      <c r="Q1349" s="186"/>
      <c r="R1349" s="186" t="s">
        <v>873</v>
      </c>
      <c r="S1349" s="139"/>
      <c r="V1349" s="139"/>
    </row>
    <row r="1350" spans="4:22">
      <c r="D1350" s="139"/>
      <c r="E1350" s="141" t="s">
        <v>1829</v>
      </c>
      <c r="F1350" s="141" t="s">
        <v>1756</v>
      </c>
      <c r="G1350" s="154" t="str">
        <f t="shared" si="228"/>
        <v>/</v>
      </c>
      <c r="H1350" s="141" t="str">
        <f t="shared" si="229"/>
        <v>/</v>
      </c>
      <c r="I1350" s="139" t="e">
        <f t="shared" si="223"/>
        <v>#NUM!</v>
      </c>
      <c r="J1350" s="139" t="e">
        <f t="shared" si="224"/>
        <v>#NUM!</v>
      </c>
      <c r="K1350" s="155">
        <f t="shared" si="227"/>
        <v>-1</v>
      </c>
      <c r="N1350" s="139">
        <f t="shared" si="225"/>
        <v>0</v>
      </c>
      <c r="O1350" s="139">
        <f t="shared" si="226"/>
        <v>1</v>
      </c>
      <c r="Q1350" s="186"/>
      <c r="R1350" s="186" t="s">
        <v>873</v>
      </c>
      <c r="S1350" s="139"/>
      <c r="V1350" s="139"/>
    </row>
    <row r="1351" spans="4:22">
      <c r="D1351" s="139"/>
      <c r="E1351" s="141" t="s">
        <v>1829</v>
      </c>
      <c r="F1351" s="141" t="s">
        <v>1756</v>
      </c>
      <c r="G1351" s="154" t="str">
        <f t="shared" si="228"/>
        <v>/</v>
      </c>
      <c r="H1351" s="141" t="str">
        <f t="shared" si="229"/>
        <v>/</v>
      </c>
      <c r="I1351" s="139" t="e">
        <f t="shared" si="223"/>
        <v>#NUM!</v>
      </c>
      <c r="J1351" s="139" t="e">
        <f t="shared" si="224"/>
        <v>#NUM!</v>
      </c>
      <c r="K1351" s="155">
        <f t="shared" si="227"/>
        <v>-1</v>
      </c>
      <c r="N1351" s="139">
        <f t="shared" si="225"/>
        <v>0</v>
      </c>
      <c r="O1351" s="139">
        <f t="shared" si="226"/>
        <v>1</v>
      </c>
      <c r="Q1351" s="186"/>
      <c r="R1351" s="186" t="s">
        <v>873</v>
      </c>
      <c r="S1351" s="139"/>
      <c r="V1351" s="139"/>
    </row>
    <row r="1352" spans="4:22">
      <c r="D1352" s="139"/>
      <c r="E1352" s="141" t="s">
        <v>1829</v>
      </c>
      <c r="F1352" s="141" t="s">
        <v>1756</v>
      </c>
      <c r="G1352" s="154" t="str">
        <f t="shared" si="228"/>
        <v>/</v>
      </c>
      <c r="H1352" s="141" t="str">
        <f t="shared" si="229"/>
        <v>/</v>
      </c>
      <c r="I1352" s="139" t="e">
        <f t="shared" si="223"/>
        <v>#NUM!</v>
      </c>
      <c r="J1352" s="139" t="e">
        <f t="shared" si="224"/>
        <v>#NUM!</v>
      </c>
      <c r="K1352" s="155">
        <f t="shared" si="227"/>
        <v>-1</v>
      </c>
      <c r="N1352" s="139">
        <f t="shared" si="225"/>
        <v>0</v>
      </c>
      <c r="O1352" s="139">
        <f t="shared" si="226"/>
        <v>1</v>
      </c>
      <c r="Q1352" s="186"/>
      <c r="R1352" s="186" t="s">
        <v>873</v>
      </c>
      <c r="S1352" s="139"/>
      <c r="V1352" s="139"/>
    </row>
    <row r="1353" spans="4:22">
      <c r="D1353" s="139"/>
      <c r="E1353" s="141" t="s">
        <v>1829</v>
      </c>
      <c r="F1353" s="141" t="s">
        <v>1756</v>
      </c>
      <c r="G1353" s="154" t="str">
        <f t="shared" si="228"/>
        <v>/</v>
      </c>
      <c r="H1353" s="141" t="str">
        <f t="shared" si="229"/>
        <v>/</v>
      </c>
      <c r="I1353" s="139" t="e">
        <f t="shared" si="223"/>
        <v>#NUM!</v>
      </c>
      <c r="J1353" s="139" t="e">
        <f t="shared" si="224"/>
        <v>#NUM!</v>
      </c>
      <c r="K1353" s="155">
        <f t="shared" si="227"/>
        <v>-1</v>
      </c>
      <c r="N1353" s="139">
        <f t="shared" si="225"/>
        <v>0</v>
      </c>
      <c r="O1353" s="139">
        <f t="shared" si="226"/>
        <v>1</v>
      </c>
      <c r="Q1353" s="186"/>
      <c r="R1353" s="186" t="s">
        <v>873</v>
      </c>
      <c r="S1353" s="139"/>
      <c r="V1353" s="139"/>
    </row>
    <row r="1354" spans="4:22">
      <c r="D1354" s="139"/>
      <c r="E1354" s="141" t="s">
        <v>1829</v>
      </c>
      <c r="F1354" s="141" t="s">
        <v>1756</v>
      </c>
      <c r="G1354" s="154" t="str">
        <f t="shared" si="228"/>
        <v>/</v>
      </c>
      <c r="H1354" s="141" t="str">
        <f t="shared" si="229"/>
        <v>/</v>
      </c>
      <c r="I1354" s="139" t="e">
        <f t="shared" si="223"/>
        <v>#NUM!</v>
      </c>
      <c r="J1354" s="139" t="e">
        <f t="shared" si="224"/>
        <v>#NUM!</v>
      </c>
      <c r="K1354" s="155">
        <f t="shared" si="227"/>
        <v>-1</v>
      </c>
      <c r="N1354" s="139">
        <f t="shared" si="225"/>
        <v>0</v>
      </c>
      <c r="O1354" s="139">
        <f t="shared" si="226"/>
        <v>1</v>
      </c>
      <c r="Q1354" s="186"/>
      <c r="R1354" s="186" t="s">
        <v>873</v>
      </c>
      <c r="S1354" s="139"/>
      <c r="V1354" s="139"/>
    </row>
    <row r="1355" spans="4:22">
      <c r="D1355" s="139"/>
      <c r="E1355" s="141" t="s">
        <v>1829</v>
      </c>
      <c r="F1355" s="141" t="s">
        <v>1756</v>
      </c>
      <c r="G1355" s="154" t="str">
        <f t="shared" si="228"/>
        <v>/</v>
      </c>
      <c r="H1355" s="141" t="str">
        <f t="shared" si="229"/>
        <v>/</v>
      </c>
      <c r="I1355" s="139" t="e">
        <f t="shared" si="223"/>
        <v>#NUM!</v>
      </c>
      <c r="J1355" s="139" t="e">
        <f t="shared" si="224"/>
        <v>#NUM!</v>
      </c>
      <c r="K1355" s="155">
        <f t="shared" si="227"/>
        <v>-1</v>
      </c>
      <c r="N1355" s="139">
        <f t="shared" si="225"/>
        <v>0</v>
      </c>
      <c r="O1355" s="139">
        <f t="shared" si="226"/>
        <v>1</v>
      </c>
      <c r="Q1355" s="186"/>
      <c r="R1355" s="186" t="s">
        <v>873</v>
      </c>
      <c r="S1355" s="139"/>
      <c r="V1355" s="139"/>
    </row>
    <row r="1356" spans="4:22">
      <c r="D1356" s="139"/>
      <c r="E1356" s="141" t="s">
        <v>1829</v>
      </c>
      <c r="F1356" s="141" t="s">
        <v>1756</v>
      </c>
      <c r="G1356" s="154" t="str">
        <f t="shared" si="228"/>
        <v>/</v>
      </c>
      <c r="H1356" s="141" t="str">
        <f t="shared" si="229"/>
        <v>/</v>
      </c>
      <c r="I1356" s="139" t="e">
        <f t="shared" si="223"/>
        <v>#NUM!</v>
      </c>
      <c r="J1356" s="139" t="e">
        <f t="shared" si="224"/>
        <v>#NUM!</v>
      </c>
      <c r="K1356" s="155">
        <f t="shared" si="227"/>
        <v>-1</v>
      </c>
      <c r="N1356" s="139">
        <f t="shared" si="225"/>
        <v>0</v>
      </c>
      <c r="O1356" s="139">
        <f t="shared" si="226"/>
        <v>1</v>
      </c>
      <c r="Q1356" s="186"/>
      <c r="R1356" s="186" t="s">
        <v>873</v>
      </c>
      <c r="S1356" s="139"/>
      <c r="V1356" s="139"/>
    </row>
    <row r="1357" spans="4:22">
      <c r="D1357" s="139"/>
      <c r="E1357" s="141" t="s">
        <v>1829</v>
      </c>
      <c r="F1357" s="141" t="s">
        <v>1756</v>
      </c>
      <c r="G1357" s="154" t="str">
        <f t="shared" si="228"/>
        <v>/</v>
      </c>
      <c r="H1357" s="141" t="str">
        <f t="shared" si="229"/>
        <v>/</v>
      </c>
      <c r="I1357" s="139" t="e">
        <f t="shared" si="223"/>
        <v>#NUM!</v>
      </c>
      <c r="J1357" s="139" t="e">
        <f t="shared" si="224"/>
        <v>#NUM!</v>
      </c>
      <c r="K1357" s="155">
        <f t="shared" si="227"/>
        <v>-1</v>
      </c>
      <c r="N1357" s="139">
        <f t="shared" si="225"/>
        <v>0</v>
      </c>
      <c r="O1357" s="139">
        <f t="shared" si="226"/>
        <v>1</v>
      </c>
      <c r="Q1357" s="186"/>
      <c r="R1357" s="186" t="s">
        <v>873</v>
      </c>
      <c r="S1357" s="139"/>
      <c r="V1357" s="139"/>
    </row>
    <row r="1358" spans="4:22">
      <c r="D1358" s="139"/>
      <c r="E1358" s="141" t="s">
        <v>1829</v>
      </c>
      <c r="F1358" s="141" t="s">
        <v>1756</v>
      </c>
      <c r="G1358" s="154" t="str">
        <f t="shared" si="228"/>
        <v>/</v>
      </c>
      <c r="H1358" s="141" t="str">
        <f t="shared" si="229"/>
        <v>/</v>
      </c>
      <c r="I1358" s="139" t="e">
        <f t="shared" si="223"/>
        <v>#NUM!</v>
      </c>
      <c r="J1358" s="139" t="e">
        <f t="shared" si="224"/>
        <v>#NUM!</v>
      </c>
      <c r="K1358" s="155">
        <f t="shared" si="227"/>
        <v>-1</v>
      </c>
      <c r="N1358" s="139">
        <f t="shared" si="225"/>
        <v>0</v>
      </c>
      <c r="O1358" s="139">
        <f t="shared" si="226"/>
        <v>1</v>
      </c>
      <c r="Q1358" s="186"/>
      <c r="R1358" s="186" t="s">
        <v>873</v>
      </c>
      <c r="S1358" s="139"/>
      <c r="V1358" s="139"/>
    </row>
    <row r="1359" spans="4:22">
      <c r="D1359" s="139"/>
      <c r="E1359" s="141" t="s">
        <v>1829</v>
      </c>
      <c r="F1359" s="141" t="s">
        <v>1756</v>
      </c>
      <c r="G1359" s="154" t="str">
        <f t="shared" si="228"/>
        <v>/</v>
      </c>
      <c r="H1359" s="141" t="str">
        <f t="shared" si="229"/>
        <v>/</v>
      </c>
      <c r="I1359" s="139" t="e">
        <f t="shared" si="223"/>
        <v>#NUM!</v>
      </c>
      <c r="J1359" s="139" t="e">
        <f t="shared" si="224"/>
        <v>#NUM!</v>
      </c>
      <c r="K1359" s="155">
        <f t="shared" si="227"/>
        <v>-1</v>
      </c>
      <c r="N1359" s="139">
        <f t="shared" si="225"/>
        <v>0</v>
      </c>
      <c r="O1359" s="139">
        <f t="shared" si="226"/>
        <v>1</v>
      </c>
      <c r="Q1359" s="186"/>
      <c r="R1359" s="186" t="s">
        <v>873</v>
      </c>
      <c r="S1359" s="139"/>
      <c r="V1359" s="139"/>
    </row>
    <row r="1360" spans="4:22">
      <c r="D1360" s="139"/>
      <c r="E1360" s="141" t="s">
        <v>1829</v>
      </c>
      <c r="F1360" s="141" t="s">
        <v>1756</v>
      </c>
      <c r="G1360" s="154" t="str">
        <f t="shared" si="228"/>
        <v>/</v>
      </c>
      <c r="H1360" s="141" t="str">
        <f t="shared" si="229"/>
        <v>/</v>
      </c>
      <c r="I1360" s="139" t="e">
        <f t="shared" si="223"/>
        <v>#NUM!</v>
      </c>
      <c r="J1360" s="139" t="e">
        <f t="shared" si="224"/>
        <v>#NUM!</v>
      </c>
      <c r="K1360" s="155">
        <f t="shared" si="227"/>
        <v>-1</v>
      </c>
      <c r="N1360" s="139">
        <f t="shared" si="225"/>
        <v>0</v>
      </c>
      <c r="O1360" s="139">
        <f t="shared" si="226"/>
        <v>1</v>
      </c>
      <c r="Q1360" s="186"/>
      <c r="R1360" s="186" t="s">
        <v>873</v>
      </c>
      <c r="S1360" s="139"/>
      <c r="V1360" s="139"/>
    </row>
    <row r="1361" spans="4:22">
      <c r="D1361" s="139"/>
      <c r="E1361" s="141" t="s">
        <v>1829</v>
      </c>
      <c r="F1361" s="141" t="s">
        <v>1756</v>
      </c>
      <c r="G1361" s="154" t="str">
        <f t="shared" si="228"/>
        <v>/</v>
      </c>
      <c r="H1361" s="141" t="str">
        <f t="shared" si="229"/>
        <v>/</v>
      </c>
      <c r="I1361" s="139" t="e">
        <f t="shared" si="223"/>
        <v>#NUM!</v>
      </c>
      <c r="J1361" s="139" t="e">
        <f t="shared" si="224"/>
        <v>#NUM!</v>
      </c>
      <c r="K1361" s="155">
        <f t="shared" si="227"/>
        <v>-1</v>
      </c>
      <c r="N1361" s="139">
        <f t="shared" si="225"/>
        <v>0</v>
      </c>
      <c r="O1361" s="139">
        <f t="shared" si="226"/>
        <v>1</v>
      </c>
      <c r="Q1361" s="186"/>
      <c r="R1361" s="186" t="s">
        <v>873</v>
      </c>
      <c r="S1361" s="139"/>
      <c r="V1361" s="139"/>
    </row>
    <row r="1362" spans="4:22">
      <c r="D1362" s="139"/>
      <c r="E1362" s="141" t="s">
        <v>1829</v>
      </c>
      <c r="F1362" s="141" t="s">
        <v>1756</v>
      </c>
      <c r="G1362" s="154" t="str">
        <f t="shared" si="228"/>
        <v>/</v>
      </c>
      <c r="H1362" s="141" t="str">
        <f t="shared" si="229"/>
        <v>/</v>
      </c>
      <c r="I1362" s="139" t="e">
        <f t="shared" si="223"/>
        <v>#NUM!</v>
      </c>
      <c r="J1362" s="139" t="e">
        <f t="shared" si="224"/>
        <v>#NUM!</v>
      </c>
      <c r="K1362" s="155">
        <f t="shared" si="227"/>
        <v>-1</v>
      </c>
      <c r="N1362" s="139">
        <f t="shared" si="225"/>
        <v>0</v>
      </c>
      <c r="O1362" s="139">
        <f t="shared" si="226"/>
        <v>1</v>
      </c>
      <c r="Q1362" s="186"/>
      <c r="R1362" s="186" t="s">
        <v>873</v>
      </c>
      <c r="S1362" s="139"/>
      <c r="V1362" s="139"/>
    </row>
    <row r="1363" spans="4:22">
      <c r="D1363" s="139"/>
      <c r="E1363" s="141" t="s">
        <v>1829</v>
      </c>
      <c r="F1363" s="141" t="s">
        <v>1756</v>
      </c>
      <c r="G1363" s="154" t="str">
        <f t="shared" si="228"/>
        <v>/</v>
      </c>
      <c r="H1363" s="141" t="str">
        <f t="shared" si="229"/>
        <v>/</v>
      </c>
      <c r="I1363" s="139" t="e">
        <f t="shared" si="223"/>
        <v>#NUM!</v>
      </c>
      <c r="J1363" s="139" t="e">
        <f t="shared" si="224"/>
        <v>#NUM!</v>
      </c>
      <c r="K1363" s="155">
        <f t="shared" si="227"/>
        <v>-1</v>
      </c>
      <c r="N1363" s="139">
        <f t="shared" si="225"/>
        <v>0</v>
      </c>
      <c r="O1363" s="139">
        <f t="shared" si="226"/>
        <v>1</v>
      </c>
      <c r="Q1363" s="186"/>
      <c r="R1363" s="186" t="s">
        <v>873</v>
      </c>
      <c r="S1363" s="139"/>
      <c r="V1363" s="139"/>
    </row>
    <row r="1364" spans="4:22">
      <c r="D1364" s="139"/>
      <c r="E1364" s="141" t="s">
        <v>1829</v>
      </c>
      <c r="F1364" s="141" t="s">
        <v>1756</v>
      </c>
      <c r="G1364" s="154" t="str">
        <f t="shared" si="228"/>
        <v>/</v>
      </c>
      <c r="H1364" s="141" t="str">
        <f t="shared" si="229"/>
        <v>/</v>
      </c>
      <c r="I1364" s="139" t="e">
        <f t="shared" si="223"/>
        <v>#NUM!</v>
      </c>
      <c r="J1364" s="139" t="e">
        <f t="shared" si="224"/>
        <v>#NUM!</v>
      </c>
      <c r="K1364" s="155">
        <f t="shared" si="227"/>
        <v>-1</v>
      </c>
      <c r="N1364" s="139">
        <f t="shared" si="225"/>
        <v>0</v>
      </c>
      <c r="O1364" s="139">
        <f t="shared" si="226"/>
        <v>1</v>
      </c>
      <c r="Q1364" s="186"/>
      <c r="R1364" s="186" t="s">
        <v>873</v>
      </c>
      <c r="S1364" s="139"/>
      <c r="V1364" s="139"/>
    </row>
    <row r="1365" spans="4:22">
      <c r="D1365" s="139"/>
      <c r="E1365" s="141" t="s">
        <v>1829</v>
      </c>
      <c r="F1365" s="141" t="s">
        <v>1756</v>
      </c>
      <c r="G1365" s="154" t="str">
        <f t="shared" si="228"/>
        <v>/</v>
      </c>
      <c r="H1365" s="141" t="str">
        <f t="shared" si="229"/>
        <v>/</v>
      </c>
      <c r="I1365" s="139" t="e">
        <f t="shared" si="223"/>
        <v>#NUM!</v>
      </c>
      <c r="J1365" s="139" t="e">
        <f t="shared" si="224"/>
        <v>#NUM!</v>
      </c>
      <c r="K1365" s="155">
        <f t="shared" si="227"/>
        <v>-1</v>
      </c>
      <c r="N1365" s="139">
        <f t="shared" si="225"/>
        <v>0</v>
      </c>
      <c r="O1365" s="139">
        <f t="shared" si="226"/>
        <v>1</v>
      </c>
      <c r="Q1365" s="186"/>
      <c r="R1365" s="186" t="s">
        <v>873</v>
      </c>
      <c r="S1365" s="139"/>
      <c r="V1365" s="139"/>
    </row>
    <row r="1366" spans="4:22">
      <c r="D1366" s="139"/>
      <c r="E1366" s="141" t="s">
        <v>1829</v>
      </c>
      <c r="F1366" s="141" t="s">
        <v>1756</v>
      </c>
      <c r="G1366" s="154" t="str">
        <f t="shared" si="228"/>
        <v>/</v>
      </c>
      <c r="H1366" s="141" t="str">
        <f t="shared" si="229"/>
        <v>/</v>
      </c>
      <c r="I1366" s="139" t="e">
        <f t="shared" si="223"/>
        <v>#NUM!</v>
      </c>
      <c r="J1366" s="139" t="e">
        <f t="shared" si="224"/>
        <v>#NUM!</v>
      </c>
      <c r="K1366" s="155">
        <f t="shared" si="227"/>
        <v>-1</v>
      </c>
      <c r="N1366" s="139">
        <f t="shared" si="225"/>
        <v>0</v>
      </c>
      <c r="O1366" s="139">
        <f t="shared" si="226"/>
        <v>1</v>
      </c>
      <c r="Q1366" s="186"/>
      <c r="R1366" s="186" t="s">
        <v>873</v>
      </c>
      <c r="S1366" s="139"/>
      <c r="V1366" s="139"/>
    </row>
    <row r="1367" spans="4:22">
      <c r="D1367" s="139"/>
      <c r="E1367" s="141" t="s">
        <v>1829</v>
      </c>
      <c r="F1367" s="141" t="s">
        <v>1756</v>
      </c>
      <c r="G1367" s="154" t="str">
        <f t="shared" si="228"/>
        <v>/</v>
      </c>
      <c r="H1367" s="141" t="str">
        <f t="shared" si="229"/>
        <v>/</v>
      </c>
      <c r="I1367" s="139" t="e">
        <f t="shared" si="223"/>
        <v>#NUM!</v>
      </c>
      <c r="J1367" s="139" t="e">
        <f t="shared" si="224"/>
        <v>#NUM!</v>
      </c>
      <c r="K1367" s="155">
        <f t="shared" si="227"/>
        <v>-1</v>
      </c>
      <c r="N1367" s="139">
        <f t="shared" si="225"/>
        <v>0</v>
      </c>
      <c r="O1367" s="139">
        <f t="shared" si="226"/>
        <v>1</v>
      </c>
      <c r="Q1367" s="186"/>
      <c r="R1367" s="186" t="s">
        <v>873</v>
      </c>
      <c r="S1367" s="139"/>
      <c r="V1367" s="139"/>
    </row>
    <row r="1368" spans="4:22">
      <c r="D1368" s="139"/>
      <c r="E1368" s="141" t="s">
        <v>1829</v>
      </c>
      <c r="F1368" s="141" t="s">
        <v>1756</v>
      </c>
      <c r="G1368" s="154" t="str">
        <f t="shared" si="228"/>
        <v>/</v>
      </c>
      <c r="H1368" s="141" t="str">
        <f t="shared" si="229"/>
        <v>/</v>
      </c>
      <c r="I1368" s="139" t="e">
        <f t="shared" si="223"/>
        <v>#NUM!</v>
      </c>
      <c r="J1368" s="139" t="e">
        <f t="shared" si="224"/>
        <v>#NUM!</v>
      </c>
      <c r="K1368" s="155">
        <f t="shared" si="227"/>
        <v>-1</v>
      </c>
      <c r="N1368" s="139">
        <f t="shared" si="225"/>
        <v>0</v>
      </c>
      <c r="O1368" s="139">
        <f t="shared" si="226"/>
        <v>1</v>
      </c>
      <c r="Q1368" s="186"/>
      <c r="R1368" s="186" t="s">
        <v>873</v>
      </c>
      <c r="S1368" s="139"/>
      <c r="V1368" s="139"/>
    </row>
    <row r="1369" spans="4:22">
      <c r="D1369" s="139"/>
      <c r="E1369" s="141" t="s">
        <v>1829</v>
      </c>
      <c r="F1369" s="141" t="s">
        <v>1756</v>
      </c>
      <c r="G1369" s="154" t="str">
        <f t="shared" si="228"/>
        <v>/</v>
      </c>
      <c r="H1369" s="141" t="str">
        <f t="shared" si="229"/>
        <v>/</v>
      </c>
      <c r="I1369" s="139" t="e">
        <f t="shared" si="223"/>
        <v>#NUM!</v>
      </c>
      <c r="J1369" s="139" t="e">
        <f t="shared" si="224"/>
        <v>#NUM!</v>
      </c>
      <c r="K1369" s="155">
        <f t="shared" si="227"/>
        <v>-1</v>
      </c>
      <c r="N1369" s="139">
        <f t="shared" si="225"/>
        <v>0</v>
      </c>
      <c r="O1369" s="139">
        <f t="shared" si="226"/>
        <v>1</v>
      </c>
      <c r="Q1369" s="186"/>
      <c r="R1369" s="186" t="s">
        <v>873</v>
      </c>
      <c r="S1369" s="139"/>
      <c r="V1369" s="139"/>
    </row>
    <row r="1370" spans="4:22">
      <c r="D1370" s="139"/>
      <c r="E1370" s="141" t="s">
        <v>1829</v>
      </c>
      <c r="F1370" s="141" t="s">
        <v>1756</v>
      </c>
      <c r="G1370" s="154" t="str">
        <f t="shared" si="228"/>
        <v>/</v>
      </c>
      <c r="H1370" s="141" t="str">
        <f t="shared" si="229"/>
        <v>/</v>
      </c>
      <c r="I1370" s="139" t="e">
        <f t="shared" si="223"/>
        <v>#NUM!</v>
      </c>
      <c r="J1370" s="139" t="e">
        <f t="shared" si="224"/>
        <v>#NUM!</v>
      </c>
      <c r="K1370" s="155">
        <f t="shared" si="227"/>
        <v>-1</v>
      </c>
      <c r="N1370" s="139">
        <f t="shared" si="225"/>
        <v>0</v>
      </c>
      <c r="O1370" s="139">
        <f t="shared" si="226"/>
        <v>1</v>
      </c>
      <c r="Q1370" s="186"/>
      <c r="R1370" s="186" t="s">
        <v>873</v>
      </c>
      <c r="S1370" s="139"/>
      <c r="V1370" s="139"/>
    </row>
    <row r="1371" spans="4:22">
      <c r="D1371" s="139"/>
      <c r="E1371" s="141" t="s">
        <v>1829</v>
      </c>
      <c r="F1371" s="141" t="s">
        <v>1756</v>
      </c>
      <c r="G1371" s="154" t="str">
        <f t="shared" si="228"/>
        <v>/</v>
      </c>
      <c r="H1371" s="141" t="str">
        <f t="shared" si="229"/>
        <v>/</v>
      </c>
      <c r="I1371" s="139" t="e">
        <f t="shared" si="223"/>
        <v>#NUM!</v>
      </c>
      <c r="J1371" s="139" t="e">
        <f t="shared" si="224"/>
        <v>#NUM!</v>
      </c>
      <c r="K1371" s="155">
        <f t="shared" si="227"/>
        <v>-1</v>
      </c>
      <c r="N1371" s="139">
        <f t="shared" si="225"/>
        <v>0</v>
      </c>
      <c r="O1371" s="139">
        <f t="shared" si="226"/>
        <v>1</v>
      </c>
      <c r="Q1371" s="186"/>
      <c r="R1371" s="186" t="s">
        <v>873</v>
      </c>
      <c r="S1371" s="139"/>
      <c r="V1371" s="139"/>
    </row>
    <row r="1372" spans="4:22">
      <c r="D1372" s="139"/>
      <c r="E1372" s="141" t="s">
        <v>1829</v>
      </c>
      <c r="F1372" s="141" t="s">
        <v>1756</v>
      </c>
      <c r="G1372" s="154" t="str">
        <f t="shared" si="228"/>
        <v>/</v>
      </c>
      <c r="H1372" s="141" t="str">
        <f t="shared" si="229"/>
        <v>/</v>
      </c>
      <c r="I1372" s="139" t="e">
        <f t="shared" si="223"/>
        <v>#NUM!</v>
      </c>
      <c r="J1372" s="139" t="e">
        <f t="shared" si="224"/>
        <v>#NUM!</v>
      </c>
      <c r="K1372" s="155">
        <f t="shared" si="227"/>
        <v>-1</v>
      </c>
      <c r="N1372" s="139">
        <f t="shared" si="225"/>
        <v>0</v>
      </c>
      <c r="O1372" s="139">
        <f t="shared" si="226"/>
        <v>1</v>
      </c>
      <c r="Q1372" s="186"/>
      <c r="R1372" s="186" t="s">
        <v>873</v>
      </c>
      <c r="S1372" s="139"/>
      <c r="V1372" s="139"/>
    </row>
    <row r="1373" spans="4:22">
      <c r="D1373" s="139"/>
      <c r="E1373" s="141" t="s">
        <v>1829</v>
      </c>
      <c r="F1373" s="141" t="s">
        <v>1756</v>
      </c>
      <c r="G1373" s="154" t="str">
        <f t="shared" si="228"/>
        <v>/</v>
      </c>
      <c r="H1373" s="141" t="str">
        <f t="shared" si="229"/>
        <v>/</v>
      </c>
      <c r="I1373" s="139" t="e">
        <f t="shared" si="223"/>
        <v>#NUM!</v>
      </c>
      <c r="J1373" s="139" t="e">
        <f t="shared" si="224"/>
        <v>#NUM!</v>
      </c>
      <c r="K1373" s="155">
        <f t="shared" si="227"/>
        <v>-1</v>
      </c>
      <c r="N1373" s="139">
        <f t="shared" si="225"/>
        <v>0</v>
      </c>
      <c r="O1373" s="139">
        <f t="shared" si="226"/>
        <v>1</v>
      </c>
      <c r="Q1373" s="186"/>
      <c r="R1373" s="186" t="s">
        <v>873</v>
      </c>
      <c r="S1373" s="139"/>
      <c r="V1373" s="139"/>
    </row>
    <row r="1374" spans="4:22">
      <c r="D1374" s="139"/>
      <c r="E1374" s="141" t="s">
        <v>1829</v>
      </c>
      <c r="F1374" s="141" t="s">
        <v>1756</v>
      </c>
      <c r="G1374" s="154" t="str">
        <f t="shared" si="228"/>
        <v>/</v>
      </c>
      <c r="H1374" s="141" t="str">
        <f t="shared" si="229"/>
        <v>/</v>
      </c>
      <c r="I1374" s="139" t="e">
        <f t="shared" si="223"/>
        <v>#NUM!</v>
      </c>
      <c r="J1374" s="139" t="e">
        <f t="shared" si="224"/>
        <v>#NUM!</v>
      </c>
      <c r="K1374" s="155">
        <f t="shared" si="227"/>
        <v>-1</v>
      </c>
      <c r="N1374" s="139">
        <f t="shared" si="225"/>
        <v>0</v>
      </c>
      <c r="O1374" s="139">
        <f t="shared" si="226"/>
        <v>1</v>
      </c>
      <c r="Q1374" s="186"/>
      <c r="R1374" s="186" t="s">
        <v>873</v>
      </c>
      <c r="S1374" s="139"/>
      <c r="V1374" s="139"/>
    </row>
    <row r="1375" spans="4:22">
      <c r="D1375" s="139"/>
      <c r="E1375" s="141" t="s">
        <v>1829</v>
      </c>
      <c r="F1375" s="141" t="s">
        <v>1756</v>
      </c>
      <c r="G1375" s="154" t="str">
        <f t="shared" si="228"/>
        <v>/</v>
      </c>
      <c r="H1375" s="141" t="str">
        <f t="shared" si="229"/>
        <v>/</v>
      </c>
      <c r="I1375" s="139" t="e">
        <f t="shared" si="223"/>
        <v>#NUM!</v>
      </c>
      <c r="J1375" s="139" t="e">
        <f t="shared" si="224"/>
        <v>#NUM!</v>
      </c>
      <c r="K1375" s="155">
        <f t="shared" si="227"/>
        <v>-1</v>
      </c>
      <c r="N1375" s="139">
        <f t="shared" si="225"/>
        <v>0</v>
      </c>
      <c r="O1375" s="139">
        <f t="shared" si="226"/>
        <v>1</v>
      </c>
      <c r="Q1375" s="186"/>
      <c r="R1375" s="186" t="s">
        <v>873</v>
      </c>
      <c r="S1375" s="139"/>
      <c r="V1375" s="139"/>
    </row>
    <row r="1376" spans="4:22">
      <c r="D1376" s="139"/>
      <c r="E1376" s="141" t="s">
        <v>1829</v>
      </c>
      <c r="F1376" s="141" t="s">
        <v>1756</v>
      </c>
      <c r="G1376" s="154" t="str">
        <f t="shared" si="228"/>
        <v>/</v>
      </c>
      <c r="H1376" s="141" t="str">
        <f t="shared" si="229"/>
        <v>/</v>
      </c>
      <c r="I1376" s="139" t="e">
        <f t="shared" si="223"/>
        <v>#NUM!</v>
      </c>
      <c r="J1376" s="139" t="e">
        <f t="shared" si="224"/>
        <v>#NUM!</v>
      </c>
      <c r="K1376" s="155">
        <f t="shared" si="227"/>
        <v>-1</v>
      </c>
      <c r="N1376" s="139">
        <f t="shared" si="225"/>
        <v>0</v>
      </c>
      <c r="O1376" s="139">
        <f t="shared" si="226"/>
        <v>1</v>
      </c>
      <c r="Q1376" s="186"/>
      <c r="R1376" s="186" t="s">
        <v>873</v>
      </c>
      <c r="S1376" s="139"/>
      <c r="V1376" s="139"/>
    </row>
    <row r="1377" spans="4:22">
      <c r="D1377" s="139"/>
      <c r="E1377" s="141" t="s">
        <v>1829</v>
      </c>
      <c r="F1377" s="141" t="s">
        <v>1756</v>
      </c>
      <c r="G1377" s="154" t="str">
        <f t="shared" si="228"/>
        <v>/</v>
      </c>
      <c r="H1377" s="141" t="str">
        <f t="shared" si="229"/>
        <v>/</v>
      </c>
      <c r="I1377" s="139" t="e">
        <f t="shared" si="223"/>
        <v>#NUM!</v>
      </c>
      <c r="J1377" s="139" t="e">
        <f t="shared" si="224"/>
        <v>#NUM!</v>
      </c>
      <c r="K1377" s="155">
        <f t="shared" si="227"/>
        <v>-1</v>
      </c>
      <c r="N1377" s="139">
        <f t="shared" si="225"/>
        <v>0</v>
      </c>
      <c r="O1377" s="139">
        <f t="shared" si="226"/>
        <v>1</v>
      </c>
      <c r="Q1377" s="186"/>
      <c r="R1377" s="186" t="s">
        <v>873</v>
      </c>
      <c r="S1377" s="139"/>
      <c r="V1377" s="139"/>
    </row>
    <row r="1378" spans="4:22">
      <c r="D1378" s="139"/>
      <c r="E1378" s="141" t="s">
        <v>1829</v>
      </c>
      <c r="F1378" s="141" t="s">
        <v>1756</v>
      </c>
      <c r="G1378" s="154" t="str">
        <f t="shared" si="228"/>
        <v>/</v>
      </c>
      <c r="H1378" s="141" t="str">
        <f t="shared" si="229"/>
        <v>/</v>
      </c>
      <c r="I1378" s="139" t="e">
        <f t="shared" si="223"/>
        <v>#NUM!</v>
      </c>
      <c r="J1378" s="139" t="e">
        <f t="shared" si="224"/>
        <v>#NUM!</v>
      </c>
      <c r="K1378" s="155">
        <f t="shared" si="227"/>
        <v>-1</v>
      </c>
      <c r="N1378" s="139">
        <f t="shared" si="225"/>
        <v>0</v>
      </c>
      <c r="O1378" s="139">
        <f t="shared" si="226"/>
        <v>1</v>
      </c>
      <c r="Q1378" s="186"/>
      <c r="R1378" s="186" t="s">
        <v>873</v>
      </c>
      <c r="S1378" s="139"/>
      <c r="V1378" s="139"/>
    </row>
    <row r="1379" spans="4:22">
      <c r="D1379" s="139"/>
      <c r="E1379" s="141" t="s">
        <v>1829</v>
      </c>
      <c r="F1379" s="141" t="s">
        <v>1756</v>
      </c>
      <c r="G1379" s="154" t="str">
        <f t="shared" si="228"/>
        <v>/</v>
      </c>
      <c r="H1379" s="141" t="str">
        <f t="shared" si="229"/>
        <v>/</v>
      </c>
      <c r="I1379" s="139" t="e">
        <f t="shared" si="223"/>
        <v>#NUM!</v>
      </c>
      <c r="J1379" s="139" t="e">
        <f t="shared" si="224"/>
        <v>#NUM!</v>
      </c>
      <c r="K1379" s="155">
        <f t="shared" si="227"/>
        <v>-1</v>
      </c>
      <c r="N1379" s="139">
        <f t="shared" si="225"/>
        <v>0</v>
      </c>
      <c r="O1379" s="139">
        <f t="shared" si="226"/>
        <v>1</v>
      </c>
      <c r="Q1379" s="186"/>
      <c r="R1379" s="186" t="s">
        <v>873</v>
      </c>
      <c r="S1379" s="139"/>
      <c r="V1379" s="139"/>
    </row>
    <row r="1380" spans="4:22">
      <c r="D1380" s="139"/>
      <c r="E1380" s="141" t="s">
        <v>1829</v>
      </c>
      <c r="F1380" s="141" t="s">
        <v>1756</v>
      </c>
      <c r="G1380" s="154" t="str">
        <f t="shared" si="228"/>
        <v>/</v>
      </c>
      <c r="H1380" s="141" t="str">
        <f t="shared" si="229"/>
        <v>/</v>
      </c>
      <c r="I1380" s="139" t="e">
        <f t="shared" si="223"/>
        <v>#NUM!</v>
      </c>
      <c r="J1380" s="139" t="e">
        <f t="shared" si="224"/>
        <v>#NUM!</v>
      </c>
      <c r="K1380" s="155">
        <f t="shared" si="227"/>
        <v>-1</v>
      </c>
      <c r="N1380" s="139">
        <f t="shared" si="225"/>
        <v>0</v>
      </c>
      <c r="O1380" s="139">
        <f t="shared" si="226"/>
        <v>1</v>
      </c>
      <c r="Q1380" s="186"/>
      <c r="R1380" s="186" t="s">
        <v>873</v>
      </c>
      <c r="S1380" s="139"/>
      <c r="V1380" s="139"/>
    </row>
    <row r="1381" spans="4:22">
      <c r="D1381" s="139"/>
      <c r="E1381" s="141" t="s">
        <v>1829</v>
      </c>
      <c r="F1381" s="141" t="s">
        <v>1756</v>
      </c>
      <c r="G1381" s="154" t="str">
        <f t="shared" si="228"/>
        <v>/</v>
      </c>
      <c r="H1381" s="141" t="str">
        <f t="shared" si="229"/>
        <v>/</v>
      </c>
      <c r="I1381" s="139" t="e">
        <f t="shared" si="223"/>
        <v>#NUM!</v>
      </c>
      <c r="J1381" s="139" t="e">
        <f t="shared" si="224"/>
        <v>#NUM!</v>
      </c>
      <c r="K1381" s="155">
        <f t="shared" si="227"/>
        <v>-1</v>
      </c>
      <c r="N1381" s="139">
        <f t="shared" si="225"/>
        <v>0</v>
      </c>
      <c r="O1381" s="139">
        <f t="shared" si="226"/>
        <v>1</v>
      </c>
      <c r="Q1381" s="186"/>
      <c r="R1381" s="186" t="s">
        <v>873</v>
      </c>
      <c r="S1381" s="139"/>
      <c r="V1381" s="139"/>
    </row>
    <row r="1382" spans="4:22">
      <c r="D1382" s="139"/>
      <c r="E1382" s="141" t="s">
        <v>1829</v>
      </c>
      <c r="F1382" s="141" t="s">
        <v>1756</v>
      </c>
      <c r="G1382" s="154" t="str">
        <f t="shared" si="228"/>
        <v>/</v>
      </c>
      <c r="H1382" s="141" t="str">
        <f t="shared" si="229"/>
        <v>/</v>
      </c>
      <c r="I1382" s="139" t="e">
        <f t="shared" si="223"/>
        <v>#NUM!</v>
      </c>
      <c r="J1382" s="139" t="e">
        <f t="shared" si="224"/>
        <v>#NUM!</v>
      </c>
      <c r="K1382" s="155">
        <f t="shared" si="227"/>
        <v>-1</v>
      </c>
      <c r="N1382" s="139">
        <f t="shared" si="225"/>
        <v>0</v>
      </c>
      <c r="O1382" s="139">
        <f t="shared" si="226"/>
        <v>1</v>
      </c>
      <c r="Q1382" s="186"/>
      <c r="R1382" s="186" t="s">
        <v>873</v>
      </c>
      <c r="S1382" s="139"/>
      <c r="V1382" s="139"/>
    </row>
    <row r="1383" spans="4:22">
      <c r="D1383" s="139"/>
      <c r="E1383" s="141" t="s">
        <v>1829</v>
      </c>
      <c r="F1383" s="141" t="s">
        <v>1756</v>
      </c>
      <c r="G1383" s="154" t="str">
        <f t="shared" si="228"/>
        <v>/</v>
      </c>
      <c r="H1383" s="141" t="str">
        <f t="shared" si="229"/>
        <v>/</v>
      </c>
      <c r="I1383" s="139" t="e">
        <f t="shared" si="223"/>
        <v>#NUM!</v>
      </c>
      <c r="J1383" s="139" t="e">
        <f t="shared" si="224"/>
        <v>#NUM!</v>
      </c>
      <c r="K1383" s="155">
        <f t="shared" si="227"/>
        <v>-1</v>
      </c>
      <c r="N1383" s="139">
        <f t="shared" si="225"/>
        <v>0</v>
      </c>
      <c r="O1383" s="139">
        <f t="shared" si="226"/>
        <v>1</v>
      </c>
      <c r="Q1383" s="186"/>
      <c r="R1383" s="186" t="s">
        <v>873</v>
      </c>
      <c r="S1383" s="139"/>
      <c r="V1383" s="139"/>
    </row>
    <row r="1384" spans="4:22">
      <c r="D1384" s="139"/>
      <c r="E1384" s="141" t="s">
        <v>1829</v>
      </c>
      <c r="F1384" s="141" t="s">
        <v>1756</v>
      </c>
      <c r="G1384" s="154" t="str">
        <f t="shared" si="228"/>
        <v>/</v>
      </c>
      <c r="H1384" s="141" t="str">
        <f t="shared" si="229"/>
        <v>/</v>
      </c>
      <c r="I1384" s="139" t="e">
        <f t="shared" si="223"/>
        <v>#NUM!</v>
      </c>
      <c r="J1384" s="139" t="e">
        <f t="shared" si="224"/>
        <v>#NUM!</v>
      </c>
      <c r="K1384" s="155">
        <f t="shared" si="227"/>
        <v>-1</v>
      </c>
      <c r="N1384" s="139">
        <f t="shared" si="225"/>
        <v>0</v>
      </c>
      <c r="O1384" s="139">
        <f t="shared" si="226"/>
        <v>1</v>
      </c>
      <c r="Q1384" s="186"/>
      <c r="R1384" s="186" t="s">
        <v>873</v>
      </c>
      <c r="S1384" s="139"/>
      <c r="V1384" s="139"/>
    </row>
    <row r="1385" spans="4:22">
      <c r="D1385" s="139"/>
      <c r="E1385" s="141" t="s">
        <v>1829</v>
      </c>
      <c r="F1385" s="141" t="s">
        <v>1756</v>
      </c>
      <c r="G1385" s="154" t="str">
        <f t="shared" si="228"/>
        <v>/</v>
      </c>
      <c r="H1385" s="141" t="str">
        <f t="shared" si="229"/>
        <v>/</v>
      </c>
      <c r="I1385" s="139" t="e">
        <f t="shared" si="223"/>
        <v>#NUM!</v>
      </c>
      <c r="J1385" s="139" t="e">
        <f t="shared" si="224"/>
        <v>#NUM!</v>
      </c>
      <c r="K1385" s="155">
        <f t="shared" si="227"/>
        <v>-1</v>
      </c>
      <c r="N1385" s="139">
        <f t="shared" si="225"/>
        <v>0</v>
      </c>
      <c r="O1385" s="139">
        <f t="shared" si="226"/>
        <v>1</v>
      </c>
      <c r="Q1385" s="186"/>
      <c r="R1385" s="186" t="s">
        <v>873</v>
      </c>
      <c r="S1385" s="139"/>
      <c r="V1385" s="139"/>
    </row>
    <row r="1386" spans="4:22">
      <c r="D1386" s="139"/>
      <c r="E1386" s="141" t="s">
        <v>1829</v>
      </c>
      <c r="F1386" s="141" t="s">
        <v>1756</v>
      </c>
      <c r="G1386" s="154" t="str">
        <f t="shared" si="228"/>
        <v>/</v>
      </c>
      <c r="H1386" s="141" t="str">
        <f t="shared" si="229"/>
        <v>/</v>
      </c>
      <c r="I1386" s="139" t="e">
        <f t="shared" si="223"/>
        <v>#NUM!</v>
      </c>
      <c r="J1386" s="139" t="e">
        <f t="shared" si="224"/>
        <v>#NUM!</v>
      </c>
      <c r="K1386" s="155">
        <f t="shared" si="227"/>
        <v>-1</v>
      </c>
      <c r="N1386" s="139">
        <f t="shared" si="225"/>
        <v>0</v>
      </c>
      <c r="O1386" s="139">
        <f t="shared" si="226"/>
        <v>1</v>
      </c>
      <c r="Q1386" s="186"/>
      <c r="R1386" s="186" t="s">
        <v>873</v>
      </c>
      <c r="S1386" s="139"/>
      <c r="V1386" s="139"/>
    </row>
    <row r="1387" spans="4:22">
      <c r="D1387" s="139"/>
      <c r="E1387" s="141" t="s">
        <v>1829</v>
      </c>
      <c r="F1387" s="141" t="s">
        <v>1756</v>
      </c>
      <c r="G1387" s="154" t="str">
        <f t="shared" si="228"/>
        <v>/</v>
      </c>
      <c r="H1387" s="141" t="str">
        <f t="shared" si="229"/>
        <v>/</v>
      </c>
      <c r="I1387" s="139" t="e">
        <f t="shared" si="223"/>
        <v>#NUM!</v>
      </c>
      <c r="J1387" s="139" t="e">
        <f t="shared" si="224"/>
        <v>#NUM!</v>
      </c>
      <c r="K1387" s="155">
        <f t="shared" si="227"/>
        <v>-1</v>
      </c>
      <c r="N1387" s="139">
        <f t="shared" si="225"/>
        <v>0</v>
      </c>
      <c r="O1387" s="139">
        <f t="shared" si="226"/>
        <v>1</v>
      </c>
      <c r="Q1387" s="186"/>
      <c r="R1387" s="186" t="s">
        <v>873</v>
      </c>
      <c r="S1387" s="139"/>
      <c r="V1387" s="139"/>
    </row>
    <row r="1388" spans="4:22">
      <c r="D1388" s="139"/>
      <c r="E1388" s="141" t="s">
        <v>1829</v>
      </c>
      <c r="F1388" s="141" t="s">
        <v>1756</v>
      </c>
      <c r="G1388" s="154" t="str">
        <f t="shared" si="228"/>
        <v>/</v>
      </c>
      <c r="H1388" s="141" t="str">
        <f t="shared" si="229"/>
        <v>/</v>
      </c>
      <c r="I1388" s="139" t="e">
        <f t="shared" si="223"/>
        <v>#NUM!</v>
      </c>
      <c r="J1388" s="139" t="e">
        <f t="shared" si="224"/>
        <v>#NUM!</v>
      </c>
      <c r="K1388" s="155">
        <f t="shared" si="227"/>
        <v>-1</v>
      </c>
      <c r="N1388" s="139">
        <f t="shared" si="225"/>
        <v>0</v>
      </c>
      <c r="O1388" s="139">
        <f t="shared" si="226"/>
        <v>1</v>
      </c>
      <c r="Q1388" s="186"/>
      <c r="R1388" s="186" t="s">
        <v>873</v>
      </c>
      <c r="S1388" s="139"/>
      <c r="V1388" s="139"/>
    </row>
    <row r="1389" spans="4:22">
      <c r="D1389" s="139"/>
      <c r="E1389" s="141" t="s">
        <v>1829</v>
      </c>
      <c r="F1389" s="141" t="s">
        <v>1756</v>
      </c>
      <c r="G1389" s="154" t="str">
        <f t="shared" si="228"/>
        <v>/</v>
      </c>
      <c r="H1389" s="141" t="str">
        <f t="shared" si="229"/>
        <v>/</v>
      </c>
      <c r="I1389" s="139" t="e">
        <f t="shared" si="223"/>
        <v>#NUM!</v>
      </c>
      <c r="J1389" s="139" t="e">
        <f t="shared" si="224"/>
        <v>#NUM!</v>
      </c>
      <c r="K1389" s="155">
        <f t="shared" si="227"/>
        <v>-1</v>
      </c>
      <c r="N1389" s="139">
        <f t="shared" si="225"/>
        <v>0</v>
      </c>
      <c r="O1389" s="139">
        <f t="shared" si="226"/>
        <v>1</v>
      </c>
      <c r="Q1389" s="186"/>
      <c r="R1389" s="186" t="s">
        <v>873</v>
      </c>
      <c r="S1389" s="139"/>
      <c r="V1389" s="139"/>
    </row>
    <row r="1390" spans="4:22">
      <c r="D1390" s="139"/>
      <c r="E1390" s="141" t="s">
        <v>1829</v>
      </c>
      <c r="F1390" s="141" t="s">
        <v>1756</v>
      </c>
      <c r="G1390" s="154" t="str">
        <f t="shared" si="228"/>
        <v>/</v>
      </c>
      <c r="H1390" s="141" t="str">
        <f t="shared" si="229"/>
        <v>/</v>
      </c>
      <c r="I1390" s="139" t="e">
        <f t="shared" si="223"/>
        <v>#NUM!</v>
      </c>
      <c r="J1390" s="139" t="e">
        <f t="shared" si="224"/>
        <v>#NUM!</v>
      </c>
      <c r="K1390" s="155">
        <f t="shared" si="227"/>
        <v>-1</v>
      </c>
      <c r="N1390" s="139">
        <f t="shared" si="225"/>
        <v>0</v>
      </c>
      <c r="O1390" s="139">
        <f t="shared" si="226"/>
        <v>1</v>
      </c>
      <c r="Q1390" s="186"/>
      <c r="R1390" s="186" t="s">
        <v>873</v>
      </c>
      <c r="S1390" s="139"/>
      <c r="V1390" s="139"/>
    </row>
    <row r="1391" spans="4:22">
      <c r="D1391" s="139"/>
      <c r="E1391" s="141" t="s">
        <v>1829</v>
      </c>
      <c r="F1391" s="141" t="s">
        <v>1756</v>
      </c>
      <c r="G1391" s="154" t="str">
        <f t="shared" si="228"/>
        <v>/</v>
      </c>
      <c r="H1391" s="141" t="str">
        <f t="shared" si="229"/>
        <v>/</v>
      </c>
      <c r="I1391" s="139" t="e">
        <f t="shared" si="223"/>
        <v>#NUM!</v>
      </c>
      <c r="J1391" s="139" t="e">
        <f t="shared" si="224"/>
        <v>#NUM!</v>
      </c>
      <c r="K1391" s="155">
        <f t="shared" si="227"/>
        <v>-1</v>
      </c>
      <c r="N1391" s="139">
        <f t="shared" si="225"/>
        <v>0</v>
      </c>
      <c r="O1391" s="139">
        <f t="shared" si="226"/>
        <v>1</v>
      </c>
      <c r="Q1391" s="186"/>
      <c r="R1391" s="186" t="s">
        <v>873</v>
      </c>
      <c r="S1391" s="139"/>
      <c r="V1391" s="139"/>
    </row>
    <row r="1392" spans="4:22">
      <c r="D1392" s="139"/>
      <c r="E1392" s="141" t="s">
        <v>1829</v>
      </c>
      <c r="F1392" s="141" t="s">
        <v>1756</v>
      </c>
      <c r="G1392" s="154" t="str">
        <f t="shared" si="228"/>
        <v>/</v>
      </c>
      <c r="H1392" s="141" t="str">
        <f t="shared" si="229"/>
        <v>/</v>
      </c>
      <c r="I1392" s="139" t="e">
        <f t="shared" si="223"/>
        <v>#NUM!</v>
      </c>
      <c r="J1392" s="139" t="e">
        <f t="shared" si="224"/>
        <v>#NUM!</v>
      </c>
      <c r="K1392" s="155">
        <f t="shared" si="227"/>
        <v>-1</v>
      </c>
      <c r="N1392" s="139">
        <f t="shared" si="225"/>
        <v>0</v>
      </c>
      <c r="O1392" s="139">
        <f t="shared" si="226"/>
        <v>1</v>
      </c>
      <c r="Q1392" s="186"/>
      <c r="R1392" s="186" t="s">
        <v>873</v>
      </c>
      <c r="S1392" s="139"/>
      <c r="V1392" s="139"/>
    </row>
    <row r="1393" spans="4:22">
      <c r="D1393" s="139"/>
      <c r="E1393" s="141" t="s">
        <v>1829</v>
      </c>
      <c r="F1393" s="141" t="s">
        <v>1756</v>
      </c>
      <c r="G1393" s="154" t="str">
        <f t="shared" si="228"/>
        <v>/</v>
      </c>
      <c r="H1393" s="141" t="str">
        <f t="shared" si="229"/>
        <v>/</v>
      </c>
      <c r="I1393" s="139" t="e">
        <f t="shared" si="223"/>
        <v>#NUM!</v>
      </c>
      <c r="J1393" s="139" t="e">
        <f t="shared" si="224"/>
        <v>#NUM!</v>
      </c>
      <c r="K1393" s="155">
        <f t="shared" si="227"/>
        <v>-1</v>
      </c>
      <c r="N1393" s="139">
        <f t="shared" si="225"/>
        <v>0</v>
      </c>
      <c r="O1393" s="139">
        <f t="shared" si="226"/>
        <v>1</v>
      </c>
      <c r="Q1393" s="186"/>
      <c r="R1393" s="186" t="s">
        <v>873</v>
      </c>
      <c r="S1393" s="139"/>
      <c r="V1393" s="139"/>
    </row>
    <row r="1394" spans="4:22">
      <c r="D1394" s="139"/>
      <c r="E1394" s="141" t="s">
        <v>1829</v>
      </c>
      <c r="F1394" s="141" t="s">
        <v>1756</v>
      </c>
      <c r="G1394" s="154" t="str">
        <f t="shared" si="228"/>
        <v>/</v>
      </c>
      <c r="H1394" s="141" t="str">
        <f t="shared" si="229"/>
        <v>/</v>
      </c>
      <c r="I1394" s="139" t="e">
        <f t="shared" si="223"/>
        <v>#NUM!</v>
      </c>
      <c r="J1394" s="139" t="e">
        <f t="shared" si="224"/>
        <v>#NUM!</v>
      </c>
      <c r="K1394" s="155">
        <f t="shared" si="227"/>
        <v>-1</v>
      </c>
      <c r="N1394" s="139">
        <f t="shared" si="225"/>
        <v>0</v>
      </c>
      <c r="O1394" s="139">
        <f t="shared" si="226"/>
        <v>1</v>
      </c>
      <c r="Q1394" s="186"/>
      <c r="R1394" s="186" t="s">
        <v>873</v>
      </c>
      <c r="S1394" s="139"/>
      <c r="V1394" s="139"/>
    </row>
    <row r="1395" spans="4:22">
      <c r="D1395" s="139"/>
      <c r="E1395" s="141" t="s">
        <v>1829</v>
      </c>
      <c r="F1395" s="141" t="s">
        <v>1756</v>
      </c>
      <c r="G1395" s="154" t="str">
        <f t="shared" si="228"/>
        <v>/</v>
      </c>
      <c r="H1395" s="141" t="str">
        <f t="shared" si="229"/>
        <v>/</v>
      </c>
      <c r="I1395" s="139" t="e">
        <f t="shared" ref="I1395:I1458" si="230">DAY(K1395)</f>
        <v>#NUM!</v>
      </c>
      <c r="J1395" s="139" t="e">
        <f t="shared" ref="J1395:J1458" si="231">MONTH(K1395)</f>
        <v>#NUM!</v>
      </c>
      <c r="K1395" s="155">
        <f t="shared" si="227"/>
        <v>-1</v>
      </c>
      <c r="N1395" s="139">
        <f t="shared" ref="N1395:N1458" si="232">DAY(P1395)</f>
        <v>0</v>
      </c>
      <c r="O1395" s="139">
        <f t="shared" ref="O1395:O1458" si="233">MONTH(P1395)</f>
        <v>1</v>
      </c>
      <c r="Q1395" s="186"/>
      <c r="R1395" s="186" t="s">
        <v>873</v>
      </c>
      <c r="S1395" s="139"/>
      <c r="V1395" s="139"/>
    </row>
    <row r="1396" spans="4:22">
      <c r="D1396" s="139"/>
      <c r="E1396" s="141" t="s">
        <v>1829</v>
      </c>
      <c r="F1396" s="141" t="s">
        <v>1756</v>
      </c>
      <c r="G1396" s="154" t="str">
        <f t="shared" si="228"/>
        <v>/</v>
      </c>
      <c r="H1396" s="141" t="str">
        <f t="shared" si="229"/>
        <v>/</v>
      </c>
      <c r="I1396" s="139" t="e">
        <f t="shared" si="230"/>
        <v>#NUM!</v>
      </c>
      <c r="J1396" s="139" t="e">
        <f t="shared" si="231"/>
        <v>#NUM!</v>
      </c>
      <c r="K1396" s="155">
        <f t="shared" si="227"/>
        <v>-1</v>
      </c>
      <c r="N1396" s="139">
        <f t="shared" si="232"/>
        <v>0</v>
      </c>
      <c r="O1396" s="139">
        <f t="shared" si="233"/>
        <v>1</v>
      </c>
      <c r="Q1396" s="186"/>
      <c r="R1396" s="186" t="s">
        <v>873</v>
      </c>
      <c r="S1396" s="139"/>
      <c r="V1396" s="139"/>
    </row>
    <row r="1397" spans="4:22">
      <c r="D1397" s="139"/>
      <c r="E1397" s="141" t="s">
        <v>1829</v>
      </c>
      <c r="F1397" s="141" t="s">
        <v>1756</v>
      </c>
      <c r="G1397" s="154" t="str">
        <f t="shared" si="228"/>
        <v>/</v>
      </c>
      <c r="H1397" s="141" t="str">
        <f t="shared" si="229"/>
        <v>/</v>
      </c>
      <c r="I1397" s="139" t="e">
        <f t="shared" si="230"/>
        <v>#NUM!</v>
      </c>
      <c r="J1397" s="139" t="e">
        <f t="shared" si="231"/>
        <v>#NUM!</v>
      </c>
      <c r="K1397" s="155">
        <f t="shared" si="227"/>
        <v>-1</v>
      </c>
      <c r="N1397" s="139">
        <f t="shared" si="232"/>
        <v>0</v>
      </c>
      <c r="O1397" s="139">
        <f t="shared" si="233"/>
        <v>1</v>
      </c>
      <c r="Q1397" s="186"/>
      <c r="R1397" s="186" t="s">
        <v>873</v>
      </c>
      <c r="S1397" s="139"/>
      <c r="V1397" s="139"/>
    </row>
    <row r="1398" spans="4:22">
      <c r="D1398" s="139"/>
      <c r="E1398" s="141" t="s">
        <v>1829</v>
      </c>
      <c r="F1398" s="141" t="s">
        <v>1756</v>
      </c>
      <c r="G1398" s="154" t="str">
        <f t="shared" si="228"/>
        <v>/</v>
      </c>
      <c r="H1398" s="141" t="str">
        <f t="shared" si="229"/>
        <v>/</v>
      </c>
      <c r="I1398" s="139" t="e">
        <f t="shared" si="230"/>
        <v>#NUM!</v>
      </c>
      <c r="J1398" s="139" t="e">
        <f t="shared" si="231"/>
        <v>#NUM!</v>
      </c>
      <c r="K1398" s="155">
        <f t="shared" si="227"/>
        <v>-1</v>
      </c>
      <c r="N1398" s="139">
        <f t="shared" si="232"/>
        <v>0</v>
      </c>
      <c r="O1398" s="139">
        <f t="shared" si="233"/>
        <v>1</v>
      </c>
      <c r="Q1398" s="186"/>
      <c r="R1398" s="186" t="s">
        <v>873</v>
      </c>
      <c r="S1398" s="139"/>
      <c r="V1398" s="139"/>
    </row>
    <row r="1399" spans="4:22">
      <c r="D1399" s="139"/>
      <c r="E1399" s="141" t="s">
        <v>1829</v>
      </c>
      <c r="F1399" s="141" t="s">
        <v>1756</v>
      </c>
      <c r="G1399" s="154" t="str">
        <f t="shared" si="228"/>
        <v>/</v>
      </c>
      <c r="H1399" s="141" t="str">
        <f t="shared" si="229"/>
        <v>/</v>
      </c>
      <c r="I1399" s="139" t="e">
        <f t="shared" si="230"/>
        <v>#NUM!</v>
      </c>
      <c r="J1399" s="139" t="e">
        <f t="shared" si="231"/>
        <v>#NUM!</v>
      </c>
      <c r="K1399" s="155">
        <f t="shared" si="227"/>
        <v>-1</v>
      </c>
      <c r="N1399" s="139">
        <f t="shared" si="232"/>
        <v>0</v>
      </c>
      <c r="O1399" s="139">
        <f t="shared" si="233"/>
        <v>1</v>
      </c>
      <c r="Q1399" s="186"/>
      <c r="R1399" s="186" t="s">
        <v>873</v>
      </c>
      <c r="S1399" s="139"/>
      <c r="V1399" s="139"/>
    </row>
    <row r="1400" spans="4:22">
      <c r="D1400" s="139"/>
      <c r="E1400" s="141" t="s">
        <v>1829</v>
      </c>
      <c r="F1400" s="141" t="s">
        <v>1756</v>
      </c>
      <c r="G1400" s="154" t="str">
        <f t="shared" si="228"/>
        <v>/</v>
      </c>
      <c r="H1400" s="141" t="str">
        <f t="shared" si="229"/>
        <v>/</v>
      </c>
      <c r="I1400" s="139" t="e">
        <f t="shared" si="230"/>
        <v>#NUM!</v>
      </c>
      <c r="J1400" s="139" t="e">
        <f t="shared" si="231"/>
        <v>#NUM!</v>
      </c>
      <c r="K1400" s="155">
        <f t="shared" si="227"/>
        <v>-1</v>
      </c>
      <c r="N1400" s="139">
        <f t="shared" si="232"/>
        <v>0</v>
      </c>
      <c r="O1400" s="139">
        <f t="shared" si="233"/>
        <v>1</v>
      </c>
      <c r="Q1400" s="186"/>
      <c r="R1400" s="186" t="s">
        <v>873</v>
      </c>
      <c r="S1400" s="139"/>
      <c r="V1400" s="139"/>
    </row>
    <row r="1401" spans="4:22">
      <c r="D1401" s="139"/>
      <c r="E1401" s="141" t="s">
        <v>1829</v>
      </c>
      <c r="F1401" s="141" t="s">
        <v>1756</v>
      </c>
      <c r="G1401" s="154" t="str">
        <f t="shared" si="228"/>
        <v>/</v>
      </c>
      <c r="H1401" s="141" t="str">
        <f t="shared" si="229"/>
        <v>/</v>
      </c>
      <c r="I1401" s="139" t="e">
        <f t="shared" si="230"/>
        <v>#NUM!</v>
      </c>
      <c r="J1401" s="139" t="e">
        <f t="shared" si="231"/>
        <v>#NUM!</v>
      </c>
      <c r="K1401" s="155">
        <f t="shared" si="227"/>
        <v>-1</v>
      </c>
      <c r="N1401" s="139">
        <f t="shared" si="232"/>
        <v>0</v>
      </c>
      <c r="O1401" s="139">
        <f t="shared" si="233"/>
        <v>1</v>
      </c>
      <c r="Q1401" s="186"/>
      <c r="R1401" s="186" t="s">
        <v>873</v>
      </c>
      <c r="S1401" s="139"/>
      <c r="V1401" s="139"/>
    </row>
    <row r="1402" spans="4:22">
      <c r="D1402" s="139"/>
      <c r="E1402" s="141" t="s">
        <v>1829</v>
      </c>
      <c r="F1402" s="141" t="s">
        <v>1756</v>
      </c>
      <c r="G1402" s="154" t="str">
        <f t="shared" si="228"/>
        <v>/</v>
      </c>
      <c r="H1402" s="141" t="str">
        <f t="shared" si="229"/>
        <v>/</v>
      </c>
      <c r="I1402" s="139" t="e">
        <f t="shared" si="230"/>
        <v>#NUM!</v>
      </c>
      <c r="J1402" s="139" t="e">
        <f t="shared" si="231"/>
        <v>#NUM!</v>
      </c>
      <c r="K1402" s="155">
        <f t="shared" ref="K1402:K1465" si="234">P1402-1</f>
        <v>-1</v>
      </c>
      <c r="N1402" s="139">
        <f t="shared" si="232"/>
        <v>0</v>
      </c>
      <c r="O1402" s="139">
        <f t="shared" si="233"/>
        <v>1</v>
      </c>
      <c r="Q1402" s="186"/>
      <c r="R1402" s="186" t="s">
        <v>873</v>
      </c>
      <c r="S1402" s="139"/>
      <c r="V1402" s="139"/>
    </row>
    <row r="1403" spans="4:22">
      <c r="D1403" s="139"/>
      <c r="E1403" s="141" t="s">
        <v>1829</v>
      </c>
      <c r="F1403" s="141" t="s">
        <v>1756</v>
      </c>
      <c r="G1403" s="154" t="str">
        <f t="shared" si="228"/>
        <v>/</v>
      </c>
      <c r="H1403" s="141" t="str">
        <f t="shared" si="229"/>
        <v>/</v>
      </c>
      <c r="I1403" s="139" t="e">
        <f t="shared" si="230"/>
        <v>#NUM!</v>
      </c>
      <c r="J1403" s="139" t="e">
        <f t="shared" si="231"/>
        <v>#NUM!</v>
      </c>
      <c r="K1403" s="155">
        <f t="shared" si="234"/>
        <v>-1</v>
      </c>
      <c r="N1403" s="139">
        <f t="shared" si="232"/>
        <v>0</v>
      </c>
      <c r="O1403" s="139">
        <f t="shared" si="233"/>
        <v>1</v>
      </c>
      <c r="Q1403" s="186"/>
      <c r="R1403" s="186" t="s">
        <v>873</v>
      </c>
      <c r="S1403" s="139"/>
      <c r="V1403" s="139"/>
    </row>
    <row r="1404" spans="4:22">
      <c r="D1404" s="139"/>
      <c r="E1404" s="141" t="s">
        <v>1829</v>
      </c>
      <c r="F1404" s="141" t="s">
        <v>1756</v>
      </c>
      <c r="G1404" s="154" t="str">
        <f t="shared" si="228"/>
        <v>/</v>
      </c>
      <c r="H1404" s="141" t="str">
        <f t="shared" si="229"/>
        <v>/</v>
      </c>
      <c r="I1404" s="139" t="e">
        <f t="shared" si="230"/>
        <v>#NUM!</v>
      </c>
      <c r="J1404" s="139" t="e">
        <f t="shared" si="231"/>
        <v>#NUM!</v>
      </c>
      <c r="K1404" s="155">
        <f t="shared" si="234"/>
        <v>-1</v>
      </c>
      <c r="N1404" s="139">
        <f t="shared" si="232"/>
        <v>0</v>
      </c>
      <c r="O1404" s="139">
        <f t="shared" si="233"/>
        <v>1</v>
      </c>
      <c r="Q1404" s="186"/>
      <c r="R1404" s="186" t="s">
        <v>873</v>
      </c>
      <c r="S1404" s="139"/>
      <c r="V1404" s="139"/>
    </row>
    <row r="1405" spans="4:22">
      <c r="D1405" s="139"/>
      <c r="E1405" s="141" t="s">
        <v>1829</v>
      </c>
      <c r="F1405" s="141" t="s">
        <v>1756</v>
      </c>
      <c r="G1405" s="154" t="str">
        <f t="shared" si="228"/>
        <v>/</v>
      </c>
      <c r="H1405" s="141" t="str">
        <f t="shared" si="229"/>
        <v>/</v>
      </c>
      <c r="I1405" s="139" t="e">
        <f t="shared" si="230"/>
        <v>#NUM!</v>
      </c>
      <c r="J1405" s="139" t="e">
        <f t="shared" si="231"/>
        <v>#NUM!</v>
      </c>
      <c r="K1405" s="155">
        <f t="shared" si="234"/>
        <v>-1</v>
      </c>
      <c r="N1405" s="139">
        <f t="shared" si="232"/>
        <v>0</v>
      </c>
      <c r="O1405" s="139">
        <f t="shared" si="233"/>
        <v>1</v>
      </c>
      <c r="Q1405" s="186"/>
      <c r="R1405" s="186" t="s">
        <v>873</v>
      </c>
      <c r="S1405" s="139"/>
      <c r="V1405" s="139"/>
    </row>
    <row r="1406" spans="4:22">
      <c r="D1406" s="139"/>
      <c r="E1406" s="141" t="s">
        <v>1829</v>
      </c>
      <c r="F1406" s="141" t="s">
        <v>1756</v>
      </c>
      <c r="G1406" s="154" t="str">
        <f t="shared" si="228"/>
        <v>/</v>
      </c>
      <c r="H1406" s="141" t="str">
        <f t="shared" si="229"/>
        <v>/</v>
      </c>
      <c r="I1406" s="139" t="e">
        <f t="shared" si="230"/>
        <v>#NUM!</v>
      </c>
      <c r="J1406" s="139" t="e">
        <f t="shared" si="231"/>
        <v>#NUM!</v>
      </c>
      <c r="K1406" s="155">
        <f t="shared" si="234"/>
        <v>-1</v>
      </c>
      <c r="N1406" s="139">
        <f t="shared" si="232"/>
        <v>0</v>
      </c>
      <c r="O1406" s="139">
        <f t="shared" si="233"/>
        <v>1</v>
      </c>
      <c r="Q1406" s="186"/>
      <c r="R1406" s="186" t="s">
        <v>873</v>
      </c>
      <c r="S1406" s="139"/>
      <c r="V1406" s="139"/>
    </row>
    <row r="1407" spans="4:22">
      <c r="D1407" s="139"/>
      <c r="E1407" s="141" t="s">
        <v>1829</v>
      </c>
      <c r="F1407" s="141" t="s">
        <v>1756</v>
      </c>
      <c r="G1407" s="154" t="str">
        <f t="shared" si="228"/>
        <v>/</v>
      </c>
      <c r="H1407" s="141" t="str">
        <f t="shared" si="229"/>
        <v>/</v>
      </c>
      <c r="I1407" s="139" t="e">
        <f t="shared" si="230"/>
        <v>#NUM!</v>
      </c>
      <c r="J1407" s="139" t="e">
        <f t="shared" si="231"/>
        <v>#NUM!</v>
      </c>
      <c r="K1407" s="155">
        <f t="shared" si="234"/>
        <v>-1</v>
      </c>
      <c r="N1407" s="139">
        <f t="shared" si="232"/>
        <v>0</v>
      </c>
      <c r="O1407" s="139">
        <f t="shared" si="233"/>
        <v>1</v>
      </c>
      <c r="Q1407" s="186"/>
      <c r="R1407" s="186" t="s">
        <v>873</v>
      </c>
      <c r="S1407" s="139"/>
      <c r="V1407" s="139"/>
    </row>
    <row r="1408" spans="4:22">
      <c r="D1408" s="139"/>
      <c r="E1408" s="141" t="s">
        <v>1829</v>
      </c>
      <c r="F1408" s="141" t="s">
        <v>1756</v>
      </c>
      <c r="G1408" s="154" t="str">
        <f t="shared" si="228"/>
        <v>/</v>
      </c>
      <c r="H1408" s="141" t="str">
        <f t="shared" si="229"/>
        <v>/</v>
      </c>
      <c r="I1408" s="139" t="e">
        <f t="shared" si="230"/>
        <v>#NUM!</v>
      </c>
      <c r="J1408" s="139" t="e">
        <f t="shared" si="231"/>
        <v>#NUM!</v>
      </c>
      <c r="K1408" s="155">
        <f t="shared" si="234"/>
        <v>-1</v>
      </c>
      <c r="N1408" s="139">
        <f t="shared" si="232"/>
        <v>0</v>
      </c>
      <c r="O1408" s="139">
        <f t="shared" si="233"/>
        <v>1</v>
      </c>
      <c r="Q1408" s="186"/>
      <c r="R1408" s="186" t="s">
        <v>873</v>
      </c>
      <c r="S1408" s="139"/>
      <c r="V1408" s="139"/>
    </row>
    <row r="1409" spans="4:22">
      <c r="D1409" s="139"/>
      <c r="E1409" s="141" t="s">
        <v>1829</v>
      </c>
      <c r="F1409" s="141" t="s">
        <v>1756</v>
      </c>
      <c r="G1409" s="154" t="str">
        <f t="shared" ref="G1409:G1472" si="235">A1409&amp;"/"&amp;B1409</f>
        <v>/</v>
      </c>
      <c r="H1409" s="141" t="str">
        <f t="shared" ref="H1409:H1472" si="236">A1409&amp;"/"&amp;B1409</f>
        <v>/</v>
      </c>
      <c r="I1409" s="139" t="e">
        <f t="shared" si="230"/>
        <v>#NUM!</v>
      </c>
      <c r="J1409" s="139" t="e">
        <f t="shared" si="231"/>
        <v>#NUM!</v>
      </c>
      <c r="K1409" s="155">
        <f t="shared" si="234"/>
        <v>-1</v>
      </c>
      <c r="N1409" s="139">
        <f t="shared" si="232"/>
        <v>0</v>
      </c>
      <c r="O1409" s="139">
        <f t="shared" si="233"/>
        <v>1</v>
      </c>
      <c r="Q1409" s="186"/>
      <c r="R1409" s="186" t="s">
        <v>873</v>
      </c>
      <c r="S1409" s="139"/>
      <c r="V1409" s="139"/>
    </row>
    <row r="1410" spans="4:22">
      <c r="D1410" s="139"/>
      <c r="E1410" s="141" t="s">
        <v>1829</v>
      </c>
      <c r="F1410" s="141" t="s">
        <v>1756</v>
      </c>
      <c r="G1410" s="154" t="str">
        <f t="shared" si="235"/>
        <v>/</v>
      </c>
      <c r="H1410" s="141" t="str">
        <f t="shared" si="236"/>
        <v>/</v>
      </c>
      <c r="I1410" s="139" t="e">
        <f t="shared" si="230"/>
        <v>#NUM!</v>
      </c>
      <c r="J1410" s="139" t="e">
        <f t="shared" si="231"/>
        <v>#NUM!</v>
      </c>
      <c r="K1410" s="155">
        <f t="shared" si="234"/>
        <v>-1</v>
      </c>
      <c r="N1410" s="139">
        <f t="shared" si="232"/>
        <v>0</v>
      </c>
      <c r="O1410" s="139">
        <f t="shared" si="233"/>
        <v>1</v>
      </c>
      <c r="Q1410" s="186"/>
      <c r="R1410" s="186" t="s">
        <v>873</v>
      </c>
      <c r="S1410" s="139"/>
      <c r="V1410" s="139"/>
    </row>
    <row r="1411" spans="4:22">
      <c r="D1411" s="139"/>
      <c r="E1411" s="141" t="s">
        <v>1829</v>
      </c>
      <c r="F1411" s="141" t="s">
        <v>1756</v>
      </c>
      <c r="G1411" s="154" t="str">
        <f t="shared" si="235"/>
        <v>/</v>
      </c>
      <c r="H1411" s="141" t="str">
        <f t="shared" si="236"/>
        <v>/</v>
      </c>
      <c r="I1411" s="139" t="e">
        <f t="shared" si="230"/>
        <v>#NUM!</v>
      </c>
      <c r="J1411" s="139" t="e">
        <f t="shared" si="231"/>
        <v>#NUM!</v>
      </c>
      <c r="K1411" s="155">
        <f t="shared" si="234"/>
        <v>-1</v>
      </c>
      <c r="N1411" s="139">
        <f t="shared" si="232"/>
        <v>0</v>
      </c>
      <c r="O1411" s="139">
        <f t="shared" si="233"/>
        <v>1</v>
      </c>
      <c r="Q1411" s="186"/>
      <c r="R1411" s="186" t="s">
        <v>873</v>
      </c>
      <c r="S1411" s="139"/>
      <c r="V1411" s="139"/>
    </row>
    <row r="1412" spans="4:22">
      <c r="D1412" s="139"/>
      <c r="E1412" s="141" t="s">
        <v>1829</v>
      </c>
      <c r="F1412" s="141" t="s">
        <v>1756</v>
      </c>
      <c r="G1412" s="154" t="str">
        <f t="shared" si="235"/>
        <v>/</v>
      </c>
      <c r="H1412" s="141" t="str">
        <f t="shared" si="236"/>
        <v>/</v>
      </c>
      <c r="I1412" s="139" t="e">
        <f t="shared" si="230"/>
        <v>#NUM!</v>
      </c>
      <c r="J1412" s="139" t="e">
        <f t="shared" si="231"/>
        <v>#NUM!</v>
      </c>
      <c r="K1412" s="155">
        <f t="shared" si="234"/>
        <v>-1</v>
      </c>
      <c r="N1412" s="139">
        <f t="shared" si="232"/>
        <v>0</v>
      </c>
      <c r="O1412" s="139">
        <f t="shared" si="233"/>
        <v>1</v>
      </c>
      <c r="Q1412" s="186"/>
      <c r="R1412" s="186" t="s">
        <v>873</v>
      </c>
      <c r="S1412" s="139"/>
      <c r="V1412" s="139"/>
    </row>
    <row r="1413" spans="4:22">
      <c r="D1413" s="139"/>
      <c r="E1413" s="141" t="s">
        <v>1829</v>
      </c>
      <c r="F1413" s="141" t="s">
        <v>1756</v>
      </c>
      <c r="G1413" s="154" t="str">
        <f t="shared" si="235"/>
        <v>/</v>
      </c>
      <c r="H1413" s="141" t="str">
        <f t="shared" si="236"/>
        <v>/</v>
      </c>
      <c r="I1413" s="139" t="e">
        <f t="shared" si="230"/>
        <v>#NUM!</v>
      </c>
      <c r="J1413" s="139" t="e">
        <f t="shared" si="231"/>
        <v>#NUM!</v>
      </c>
      <c r="K1413" s="155">
        <f t="shared" si="234"/>
        <v>-1</v>
      </c>
      <c r="N1413" s="139">
        <f t="shared" si="232"/>
        <v>0</v>
      </c>
      <c r="O1413" s="139">
        <f t="shared" si="233"/>
        <v>1</v>
      </c>
      <c r="Q1413" s="186"/>
      <c r="R1413" s="186" t="s">
        <v>873</v>
      </c>
      <c r="S1413" s="139"/>
      <c r="V1413" s="139"/>
    </row>
    <row r="1414" spans="4:22">
      <c r="D1414" s="139"/>
      <c r="E1414" s="141" t="s">
        <v>1829</v>
      </c>
      <c r="F1414" s="141" t="s">
        <v>1756</v>
      </c>
      <c r="G1414" s="154" t="str">
        <f t="shared" si="235"/>
        <v>/</v>
      </c>
      <c r="H1414" s="141" t="str">
        <f t="shared" si="236"/>
        <v>/</v>
      </c>
      <c r="I1414" s="139" t="e">
        <f t="shared" si="230"/>
        <v>#NUM!</v>
      </c>
      <c r="J1414" s="139" t="e">
        <f t="shared" si="231"/>
        <v>#NUM!</v>
      </c>
      <c r="K1414" s="155">
        <f t="shared" si="234"/>
        <v>-1</v>
      </c>
      <c r="N1414" s="139">
        <f t="shared" si="232"/>
        <v>0</v>
      </c>
      <c r="O1414" s="139">
        <f t="shared" si="233"/>
        <v>1</v>
      </c>
      <c r="Q1414" s="186"/>
      <c r="R1414" s="186" t="s">
        <v>873</v>
      </c>
      <c r="S1414" s="139"/>
      <c r="V1414" s="139"/>
    </row>
    <row r="1415" spans="4:22">
      <c r="D1415" s="139"/>
      <c r="E1415" s="141" t="s">
        <v>1829</v>
      </c>
      <c r="F1415" s="141" t="s">
        <v>1756</v>
      </c>
      <c r="G1415" s="154" t="str">
        <f t="shared" si="235"/>
        <v>/</v>
      </c>
      <c r="H1415" s="141" t="str">
        <f t="shared" si="236"/>
        <v>/</v>
      </c>
      <c r="I1415" s="139" t="e">
        <f t="shared" si="230"/>
        <v>#NUM!</v>
      </c>
      <c r="J1415" s="139" t="e">
        <f t="shared" si="231"/>
        <v>#NUM!</v>
      </c>
      <c r="K1415" s="155">
        <f t="shared" si="234"/>
        <v>-1</v>
      </c>
      <c r="N1415" s="139">
        <f t="shared" si="232"/>
        <v>0</v>
      </c>
      <c r="O1415" s="139">
        <f t="shared" si="233"/>
        <v>1</v>
      </c>
      <c r="Q1415" s="186"/>
      <c r="R1415" s="186" t="s">
        <v>873</v>
      </c>
      <c r="S1415" s="139"/>
      <c r="V1415" s="139"/>
    </row>
    <row r="1416" spans="4:22">
      <c r="D1416" s="139"/>
      <c r="E1416" s="141" t="s">
        <v>1829</v>
      </c>
      <c r="F1416" s="141" t="s">
        <v>1756</v>
      </c>
      <c r="G1416" s="154" t="str">
        <f t="shared" si="235"/>
        <v>/</v>
      </c>
      <c r="H1416" s="141" t="str">
        <f t="shared" si="236"/>
        <v>/</v>
      </c>
      <c r="I1416" s="139" t="e">
        <f t="shared" si="230"/>
        <v>#NUM!</v>
      </c>
      <c r="J1416" s="139" t="e">
        <f t="shared" si="231"/>
        <v>#NUM!</v>
      </c>
      <c r="K1416" s="155">
        <f t="shared" si="234"/>
        <v>-1</v>
      </c>
      <c r="N1416" s="139">
        <f t="shared" si="232"/>
        <v>0</v>
      </c>
      <c r="O1416" s="139">
        <f t="shared" si="233"/>
        <v>1</v>
      </c>
      <c r="Q1416" s="186"/>
      <c r="R1416" s="186" t="s">
        <v>873</v>
      </c>
      <c r="S1416" s="139"/>
      <c r="V1416" s="139"/>
    </row>
    <row r="1417" spans="4:22">
      <c r="D1417" s="139"/>
      <c r="E1417" s="141" t="s">
        <v>1829</v>
      </c>
      <c r="F1417" s="141" t="s">
        <v>1756</v>
      </c>
      <c r="G1417" s="154" t="str">
        <f t="shared" si="235"/>
        <v>/</v>
      </c>
      <c r="H1417" s="141" t="str">
        <f t="shared" si="236"/>
        <v>/</v>
      </c>
      <c r="I1417" s="139" t="e">
        <f t="shared" si="230"/>
        <v>#NUM!</v>
      </c>
      <c r="J1417" s="139" t="e">
        <f t="shared" si="231"/>
        <v>#NUM!</v>
      </c>
      <c r="K1417" s="155">
        <f t="shared" si="234"/>
        <v>-1</v>
      </c>
      <c r="N1417" s="139">
        <f t="shared" si="232"/>
        <v>0</v>
      </c>
      <c r="O1417" s="139">
        <f t="shared" si="233"/>
        <v>1</v>
      </c>
      <c r="Q1417" s="186"/>
      <c r="R1417" s="186" t="s">
        <v>873</v>
      </c>
      <c r="S1417" s="139"/>
      <c r="V1417" s="139"/>
    </row>
    <row r="1418" spans="4:22">
      <c r="D1418" s="139"/>
      <c r="E1418" s="141" t="s">
        <v>1829</v>
      </c>
      <c r="F1418" s="141" t="s">
        <v>1756</v>
      </c>
      <c r="G1418" s="154" t="str">
        <f t="shared" si="235"/>
        <v>/</v>
      </c>
      <c r="H1418" s="141" t="str">
        <f t="shared" si="236"/>
        <v>/</v>
      </c>
      <c r="I1418" s="139" t="e">
        <f t="shared" si="230"/>
        <v>#NUM!</v>
      </c>
      <c r="J1418" s="139" t="e">
        <f t="shared" si="231"/>
        <v>#NUM!</v>
      </c>
      <c r="K1418" s="155">
        <f t="shared" si="234"/>
        <v>-1</v>
      </c>
      <c r="N1418" s="139">
        <f t="shared" si="232"/>
        <v>0</v>
      </c>
      <c r="O1418" s="139">
        <f t="shared" si="233"/>
        <v>1</v>
      </c>
      <c r="Q1418" s="186"/>
      <c r="R1418" s="186" t="s">
        <v>873</v>
      </c>
      <c r="S1418" s="139"/>
      <c r="V1418" s="139"/>
    </row>
    <row r="1419" spans="4:22">
      <c r="D1419" s="139"/>
      <c r="E1419" s="141" t="s">
        <v>1829</v>
      </c>
      <c r="F1419" s="141" t="s">
        <v>1756</v>
      </c>
      <c r="G1419" s="154" t="str">
        <f t="shared" si="235"/>
        <v>/</v>
      </c>
      <c r="H1419" s="141" t="str">
        <f t="shared" si="236"/>
        <v>/</v>
      </c>
      <c r="I1419" s="139" t="e">
        <f t="shared" si="230"/>
        <v>#NUM!</v>
      </c>
      <c r="J1419" s="139" t="e">
        <f t="shared" si="231"/>
        <v>#NUM!</v>
      </c>
      <c r="K1419" s="155">
        <f t="shared" si="234"/>
        <v>-1</v>
      </c>
      <c r="N1419" s="139">
        <f t="shared" si="232"/>
        <v>0</v>
      </c>
      <c r="O1419" s="139">
        <f t="shared" si="233"/>
        <v>1</v>
      </c>
      <c r="Q1419" s="186"/>
      <c r="R1419" s="186" t="s">
        <v>873</v>
      </c>
      <c r="S1419" s="139"/>
      <c r="V1419" s="139"/>
    </row>
    <row r="1420" spans="4:22">
      <c r="D1420" s="139"/>
      <c r="E1420" s="141" t="s">
        <v>1829</v>
      </c>
      <c r="F1420" s="141" t="s">
        <v>1756</v>
      </c>
      <c r="G1420" s="154" t="str">
        <f t="shared" si="235"/>
        <v>/</v>
      </c>
      <c r="H1420" s="141" t="str">
        <f t="shared" si="236"/>
        <v>/</v>
      </c>
      <c r="I1420" s="139" t="e">
        <f t="shared" si="230"/>
        <v>#NUM!</v>
      </c>
      <c r="J1420" s="139" t="e">
        <f t="shared" si="231"/>
        <v>#NUM!</v>
      </c>
      <c r="K1420" s="155">
        <f t="shared" si="234"/>
        <v>-1</v>
      </c>
      <c r="N1420" s="139">
        <f t="shared" si="232"/>
        <v>0</v>
      </c>
      <c r="O1420" s="139">
        <f t="shared" si="233"/>
        <v>1</v>
      </c>
      <c r="Q1420" s="186"/>
      <c r="R1420" s="186" t="s">
        <v>873</v>
      </c>
      <c r="S1420" s="139"/>
      <c r="V1420" s="139"/>
    </row>
    <row r="1421" spans="4:22">
      <c r="D1421" s="139"/>
      <c r="E1421" s="141" t="s">
        <v>1829</v>
      </c>
      <c r="F1421" s="141" t="s">
        <v>1756</v>
      </c>
      <c r="G1421" s="154" t="str">
        <f t="shared" si="235"/>
        <v>/</v>
      </c>
      <c r="H1421" s="141" t="str">
        <f t="shared" si="236"/>
        <v>/</v>
      </c>
      <c r="I1421" s="139" t="e">
        <f t="shared" si="230"/>
        <v>#NUM!</v>
      </c>
      <c r="J1421" s="139" t="e">
        <f t="shared" si="231"/>
        <v>#NUM!</v>
      </c>
      <c r="K1421" s="155">
        <f t="shared" si="234"/>
        <v>-1</v>
      </c>
      <c r="N1421" s="139">
        <f t="shared" si="232"/>
        <v>0</v>
      </c>
      <c r="O1421" s="139">
        <f t="shared" si="233"/>
        <v>1</v>
      </c>
      <c r="Q1421" s="186"/>
      <c r="R1421" s="186" t="s">
        <v>873</v>
      </c>
      <c r="S1421" s="139"/>
      <c r="V1421" s="139"/>
    </row>
    <row r="1422" spans="4:22">
      <c r="D1422" s="139"/>
      <c r="E1422" s="141" t="s">
        <v>1829</v>
      </c>
      <c r="F1422" s="141" t="s">
        <v>1756</v>
      </c>
      <c r="G1422" s="154" t="str">
        <f t="shared" si="235"/>
        <v>/</v>
      </c>
      <c r="H1422" s="141" t="str">
        <f t="shared" si="236"/>
        <v>/</v>
      </c>
      <c r="I1422" s="139" t="e">
        <f t="shared" si="230"/>
        <v>#NUM!</v>
      </c>
      <c r="J1422" s="139" t="e">
        <f t="shared" si="231"/>
        <v>#NUM!</v>
      </c>
      <c r="K1422" s="155">
        <f t="shared" si="234"/>
        <v>-1</v>
      </c>
      <c r="N1422" s="139">
        <f t="shared" si="232"/>
        <v>0</v>
      </c>
      <c r="O1422" s="139">
        <f t="shared" si="233"/>
        <v>1</v>
      </c>
      <c r="Q1422" s="186"/>
      <c r="R1422" s="186" t="s">
        <v>873</v>
      </c>
      <c r="S1422" s="139"/>
      <c r="V1422" s="139"/>
    </row>
    <row r="1423" spans="4:22">
      <c r="D1423" s="139"/>
      <c r="E1423" s="141" t="s">
        <v>1829</v>
      </c>
      <c r="F1423" s="141" t="s">
        <v>1756</v>
      </c>
      <c r="G1423" s="154" t="str">
        <f t="shared" si="235"/>
        <v>/</v>
      </c>
      <c r="H1423" s="141" t="str">
        <f t="shared" si="236"/>
        <v>/</v>
      </c>
      <c r="I1423" s="139" t="e">
        <f t="shared" si="230"/>
        <v>#NUM!</v>
      </c>
      <c r="J1423" s="139" t="e">
        <f t="shared" si="231"/>
        <v>#NUM!</v>
      </c>
      <c r="K1423" s="155">
        <f t="shared" si="234"/>
        <v>-1</v>
      </c>
      <c r="N1423" s="139">
        <f t="shared" si="232"/>
        <v>0</v>
      </c>
      <c r="O1423" s="139">
        <f t="shared" si="233"/>
        <v>1</v>
      </c>
      <c r="Q1423" s="186"/>
      <c r="R1423" s="186" t="s">
        <v>873</v>
      </c>
      <c r="S1423" s="139"/>
      <c r="V1423" s="139"/>
    </row>
    <row r="1424" spans="4:22">
      <c r="D1424" s="139"/>
      <c r="E1424" s="141" t="s">
        <v>1829</v>
      </c>
      <c r="F1424" s="141" t="s">
        <v>1756</v>
      </c>
      <c r="G1424" s="154" t="str">
        <f t="shared" si="235"/>
        <v>/</v>
      </c>
      <c r="H1424" s="141" t="str">
        <f t="shared" si="236"/>
        <v>/</v>
      </c>
      <c r="I1424" s="139" t="e">
        <f t="shared" si="230"/>
        <v>#NUM!</v>
      </c>
      <c r="J1424" s="139" t="e">
        <f t="shared" si="231"/>
        <v>#NUM!</v>
      </c>
      <c r="K1424" s="155">
        <f t="shared" si="234"/>
        <v>-1</v>
      </c>
      <c r="N1424" s="139">
        <f t="shared" si="232"/>
        <v>0</v>
      </c>
      <c r="O1424" s="139">
        <f t="shared" si="233"/>
        <v>1</v>
      </c>
      <c r="Q1424" s="186"/>
      <c r="R1424" s="186" t="s">
        <v>873</v>
      </c>
      <c r="S1424" s="139"/>
      <c r="V1424" s="139"/>
    </row>
    <row r="1425" spans="4:22">
      <c r="D1425" s="139"/>
      <c r="E1425" s="141" t="s">
        <v>1829</v>
      </c>
      <c r="F1425" s="141" t="s">
        <v>1756</v>
      </c>
      <c r="G1425" s="154" t="str">
        <f t="shared" si="235"/>
        <v>/</v>
      </c>
      <c r="H1425" s="141" t="str">
        <f t="shared" si="236"/>
        <v>/</v>
      </c>
      <c r="I1425" s="139" t="e">
        <f t="shared" si="230"/>
        <v>#NUM!</v>
      </c>
      <c r="J1425" s="139" t="e">
        <f t="shared" si="231"/>
        <v>#NUM!</v>
      </c>
      <c r="K1425" s="155">
        <f t="shared" si="234"/>
        <v>-1</v>
      </c>
      <c r="N1425" s="139">
        <f t="shared" si="232"/>
        <v>0</v>
      </c>
      <c r="O1425" s="139">
        <f t="shared" si="233"/>
        <v>1</v>
      </c>
      <c r="Q1425" s="186"/>
      <c r="R1425" s="186" t="s">
        <v>873</v>
      </c>
      <c r="S1425" s="139"/>
      <c r="V1425" s="139"/>
    </row>
    <row r="1426" spans="4:22">
      <c r="D1426" s="139"/>
      <c r="E1426" s="141" t="s">
        <v>1829</v>
      </c>
      <c r="F1426" s="141" t="s">
        <v>1756</v>
      </c>
      <c r="G1426" s="154" t="str">
        <f t="shared" si="235"/>
        <v>/</v>
      </c>
      <c r="H1426" s="141" t="str">
        <f t="shared" si="236"/>
        <v>/</v>
      </c>
      <c r="I1426" s="139" t="e">
        <f t="shared" si="230"/>
        <v>#NUM!</v>
      </c>
      <c r="J1426" s="139" t="e">
        <f t="shared" si="231"/>
        <v>#NUM!</v>
      </c>
      <c r="K1426" s="155">
        <f t="shared" si="234"/>
        <v>-1</v>
      </c>
      <c r="N1426" s="139">
        <f t="shared" si="232"/>
        <v>0</v>
      </c>
      <c r="O1426" s="139">
        <f t="shared" si="233"/>
        <v>1</v>
      </c>
      <c r="Q1426" s="186"/>
      <c r="R1426" s="186" t="s">
        <v>873</v>
      </c>
      <c r="S1426" s="139"/>
      <c r="V1426" s="139"/>
    </row>
    <row r="1427" spans="4:22">
      <c r="D1427" s="139"/>
      <c r="E1427" s="141" t="s">
        <v>1829</v>
      </c>
      <c r="F1427" s="141" t="s">
        <v>1756</v>
      </c>
      <c r="G1427" s="154" t="str">
        <f t="shared" si="235"/>
        <v>/</v>
      </c>
      <c r="H1427" s="141" t="str">
        <f t="shared" si="236"/>
        <v>/</v>
      </c>
      <c r="I1427" s="139" t="e">
        <f t="shared" si="230"/>
        <v>#NUM!</v>
      </c>
      <c r="J1427" s="139" t="e">
        <f t="shared" si="231"/>
        <v>#NUM!</v>
      </c>
      <c r="K1427" s="155">
        <f t="shared" si="234"/>
        <v>-1</v>
      </c>
      <c r="N1427" s="139">
        <f t="shared" si="232"/>
        <v>0</v>
      </c>
      <c r="O1427" s="139">
        <f t="shared" si="233"/>
        <v>1</v>
      </c>
      <c r="Q1427" s="186"/>
      <c r="R1427" s="186" t="s">
        <v>873</v>
      </c>
      <c r="S1427" s="139"/>
      <c r="V1427" s="139"/>
    </row>
    <row r="1428" spans="4:22">
      <c r="D1428" s="139"/>
      <c r="E1428" s="141" t="s">
        <v>1829</v>
      </c>
      <c r="F1428" s="141" t="s">
        <v>1756</v>
      </c>
      <c r="G1428" s="154" t="str">
        <f t="shared" si="235"/>
        <v>/</v>
      </c>
      <c r="H1428" s="141" t="str">
        <f t="shared" si="236"/>
        <v>/</v>
      </c>
      <c r="I1428" s="139" t="e">
        <f t="shared" si="230"/>
        <v>#NUM!</v>
      </c>
      <c r="J1428" s="139" t="e">
        <f t="shared" si="231"/>
        <v>#NUM!</v>
      </c>
      <c r="K1428" s="155">
        <f t="shared" si="234"/>
        <v>-1</v>
      </c>
      <c r="N1428" s="139">
        <f t="shared" si="232"/>
        <v>0</v>
      </c>
      <c r="O1428" s="139">
        <f t="shared" si="233"/>
        <v>1</v>
      </c>
      <c r="Q1428" s="186"/>
      <c r="R1428" s="186" t="s">
        <v>873</v>
      </c>
      <c r="S1428" s="139"/>
      <c r="V1428" s="139"/>
    </row>
    <row r="1429" spans="4:22">
      <c r="D1429" s="139"/>
      <c r="E1429" s="141" t="s">
        <v>1829</v>
      </c>
      <c r="F1429" s="141" t="s">
        <v>1756</v>
      </c>
      <c r="G1429" s="154" t="str">
        <f t="shared" si="235"/>
        <v>/</v>
      </c>
      <c r="H1429" s="141" t="str">
        <f t="shared" si="236"/>
        <v>/</v>
      </c>
      <c r="I1429" s="139" t="e">
        <f t="shared" si="230"/>
        <v>#NUM!</v>
      </c>
      <c r="J1429" s="139" t="e">
        <f t="shared" si="231"/>
        <v>#NUM!</v>
      </c>
      <c r="K1429" s="155">
        <f t="shared" si="234"/>
        <v>-1</v>
      </c>
      <c r="N1429" s="139">
        <f t="shared" si="232"/>
        <v>0</v>
      </c>
      <c r="O1429" s="139">
        <f t="shared" si="233"/>
        <v>1</v>
      </c>
      <c r="Q1429" s="186"/>
      <c r="R1429" s="186" t="s">
        <v>873</v>
      </c>
      <c r="S1429" s="139"/>
      <c r="V1429" s="139"/>
    </row>
    <row r="1430" spans="4:22">
      <c r="D1430" s="139"/>
      <c r="E1430" s="141" t="s">
        <v>1829</v>
      </c>
      <c r="F1430" s="141" t="s">
        <v>1756</v>
      </c>
      <c r="G1430" s="154" t="str">
        <f t="shared" si="235"/>
        <v>/</v>
      </c>
      <c r="H1430" s="141" t="str">
        <f t="shared" si="236"/>
        <v>/</v>
      </c>
      <c r="I1430" s="139" t="e">
        <f t="shared" si="230"/>
        <v>#NUM!</v>
      </c>
      <c r="J1430" s="139" t="e">
        <f t="shared" si="231"/>
        <v>#NUM!</v>
      </c>
      <c r="K1430" s="155">
        <f t="shared" si="234"/>
        <v>-1</v>
      </c>
      <c r="N1430" s="139">
        <f t="shared" si="232"/>
        <v>0</v>
      </c>
      <c r="O1430" s="139">
        <f t="shared" si="233"/>
        <v>1</v>
      </c>
      <c r="Q1430" s="186"/>
      <c r="R1430" s="186" t="s">
        <v>873</v>
      </c>
      <c r="S1430" s="139"/>
      <c r="V1430" s="139"/>
    </row>
    <row r="1431" spans="4:22">
      <c r="D1431" s="139"/>
      <c r="E1431" s="141" t="s">
        <v>1829</v>
      </c>
      <c r="F1431" s="141" t="s">
        <v>1756</v>
      </c>
      <c r="G1431" s="154" t="str">
        <f t="shared" si="235"/>
        <v>/</v>
      </c>
      <c r="H1431" s="141" t="str">
        <f t="shared" si="236"/>
        <v>/</v>
      </c>
      <c r="I1431" s="139" t="e">
        <f t="shared" si="230"/>
        <v>#NUM!</v>
      </c>
      <c r="J1431" s="139" t="e">
        <f t="shared" si="231"/>
        <v>#NUM!</v>
      </c>
      <c r="K1431" s="155">
        <f t="shared" si="234"/>
        <v>-1</v>
      </c>
      <c r="N1431" s="139">
        <f t="shared" si="232"/>
        <v>0</v>
      </c>
      <c r="O1431" s="139">
        <f t="shared" si="233"/>
        <v>1</v>
      </c>
      <c r="Q1431" s="186"/>
      <c r="R1431" s="186" t="s">
        <v>873</v>
      </c>
      <c r="S1431" s="139"/>
      <c r="V1431" s="139"/>
    </row>
    <row r="1432" spans="4:22">
      <c r="D1432" s="139"/>
      <c r="E1432" s="141" t="s">
        <v>1829</v>
      </c>
      <c r="F1432" s="141" t="s">
        <v>1756</v>
      </c>
      <c r="G1432" s="154" t="str">
        <f t="shared" si="235"/>
        <v>/</v>
      </c>
      <c r="H1432" s="141" t="str">
        <f t="shared" si="236"/>
        <v>/</v>
      </c>
      <c r="I1432" s="139" t="e">
        <f t="shared" si="230"/>
        <v>#NUM!</v>
      </c>
      <c r="J1432" s="139" t="e">
        <f t="shared" si="231"/>
        <v>#NUM!</v>
      </c>
      <c r="K1432" s="155">
        <f t="shared" si="234"/>
        <v>-1</v>
      </c>
      <c r="N1432" s="139">
        <f t="shared" si="232"/>
        <v>0</v>
      </c>
      <c r="O1432" s="139">
        <f t="shared" si="233"/>
        <v>1</v>
      </c>
      <c r="Q1432" s="186"/>
      <c r="R1432" s="186" t="s">
        <v>873</v>
      </c>
      <c r="S1432" s="139"/>
      <c r="V1432" s="139"/>
    </row>
    <row r="1433" spans="4:22">
      <c r="D1433" s="139"/>
      <c r="E1433" s="141" t="s">
        <v>1829</v>
      </c>
      <c r="F1433" s="141" t="s">
        <v>1756</v>
      </c>
      <c r="G1433" s="154" t="str">
        <f t="shared" si="235"/>
        <v>/</v>
      </c>
      <c r="H1433" s="141" t="str">
        <f t="shared" si="236"/>
        <v>/</v>
      </c>
      <c r="I1433" s="139" t="e">
        <f t="shared" si="230"/>
        <v>#NUM!</v>
      </c>
      <c r="J1433" s="139" t="e">
        <f t="shared" si="231"/>
        <v>#NUM!</v>
      </c>
      <c r="K1433" s="155">
        <f t="shared" si="234"/>
        <v>-1</v>
      </c>
      <c r="N1433" s="139">
        <f t="shared" si="232"/>
        <v>0</v>
      </c>
      <c r="O1433" s="139">
        <f t="shared" si="233"/>
        <v>1</v>
      </c>
      <c r="Q1433" s="186"/>
      <c r="R1433" s="186" t="s">
        <v>873</v>
      </c>
      <c r="S1433" s="139"/>
      <c r="V1433" s="139"/>
    </row>
    <row r="1434" spans="4:22">
      <c r="D1434" s="139"/>
      <c r="E1434" s="141" t="s">
        <v>1829</v>
      </c>
      <c r="F1434" s="141" t="s">
        <v>1756</v>
      </c>
      <c r="G1434" s="154" t="str">
        <f t="shared" si="235"/>
        <v>/</v>
      </c>
      <c r="H1434" s="141" t="str">
        <f t="shared" si="236"/>
        <v>/</v>
      </c>
      <c r="I1434" s="139" t="e">
        <f t="shared" si="230"/>
        <v>#NUM!</v>
      </c>
      <c r="J1434" s="139" t="e">
        <f t="shared" si="231"/>
        <v>#NUM!</v>
      </c>
      <c r="K1434" s="155">
        <f t="shared" si="234"/>
        <v>-1</v>
      </c>
      <c r="N1434" s="139">
        <f t="shared" si="232"/>
        <v>0</v>
      </c>
      <c r="O1434" s="139">
        <f t="shared" si="233"/>
        <v>1</v>
      </c>
      <c r="Q1434" s="186"/>
      <c r="R1434" s="186" t="s">
        <v>873</v>
      </c>
      <c r="S1434" s="139"/>
      <c r="V1434" s="139"/>
    </row>
    <row r="1435" spans="4:22">
      <c r="D1435" s="139"/>
      <c r="E1435" s="141" t="s">
        <v>1829</v>
      </c>
      <c r="F1435" s="141" t="s">
        <v>1756</v>
      </c>
      <c r="G1435" s="154" t="str">
        <f t="shared" si="235"/>
        <v>/</v>
      </c>
      <c r="H1435" s="141" t="str">
        <f t="shared" si="236"/>
        <v>/</v>
      </c>
      <c r="I1435" s="139" t="e">
        <f t="shared" si="230"/>
        <v>#NUM!</v>
      </c>
      <c r="J1435" s="139" t="e">
        <f t="shared" si="231"/>
        <v>#NUM!</v>
      </c>
      <c r="K1435" s="155">
        <f t="shared" si="234"/>
        <v>-1</v>
      </c>
      <c r="N1435" s="139">
        <f t="shared" si="232"/>
        <v>0</v>
      </c>
      <c r="O1435" s="139">
        <f t="shared" si="233"/>
        <v>1</v>
      </c>
      <c r="Q1435" s="186"/>
      <c r="R1435" s="186" t="s">
        <v>873</v>
      </c>
      <c r="S1435" s="139"/>
      <c r="V1435" s="139"/>
    </row>
    <row r="1436" spans="4:22">
      <c r="D1436" s="139"/>
      <c r="E1436" s="141" t="s">
        <v>1829</v>
      </c>
      <c r="F1436" s="141" t="s">
        <v>1756</v>
      </c>
      <c r="G1436" s="154" t="str">
        <f t="shared" si="235"/>
        <v>/</v>
      </c>
      <c r="H1436" s="141" t="str">
        <f t="shared" si="236"/>
        <v>/</v>
      </c>
      <c r="I1436" s="139" t="e">
        <f t="shared" si="230"/>
        <v>#NUM!</v>
      </c>
      <c r="J1436" s="139" t="e">
        <f t="shared" si="231"/>
        <v>#NUM!</v>
      </c>
      <c r="K1436" s="155">
        <f t="shared" si="234"/>
        <v>-1</v>
      </c>
      <c r="N1436" s="139">
        <f t="shared" si="232"/>
        <v>0</v>
      </c>
      <c r="O1436" s="139">
        <f t="shared" si="233"/>
        <v>1</v>
      </c>
      <c r="Q1436" s="186"/>
      <c r="R1436" s="186" t="s">
        <v>873</v>
      </c>
      <c r="S1436" s="139"/>
      <c r="V1436" s="139"/>
    </row>
    <row r="1437" spans="4:22">
      <c r="D1437" s="139"/>
      <c r="E1437" s="141" t="s">
        <v>1829</v>
      </c>
      <c r="F1437" s="141" t="s">
        <v>1756</v>
      </c>
      <c r="G1437" s="154" t="str">
        <f t="shared" si="235"/>
        <v>/</v>
      </c>
      <c r="H1437" s="141" t="str">
        <f t="shared" si="236"/>
        <v>/</v>
      </c>
      <c r="I1437" s="139" t="e">
        <f t="shared" si="230"/>
        <v>#NUM!</v>
      </c>
      <c r="J1437" s="139" t="e">
        <f t="shared" si="231"/>
        <v>#NUM!</v>
      </c>
      <c r="K1437" s="155">
        <f t="shared" si="234"/>
        <v>-1</v>
      </c>
      <c r="N1437" s="139">
        <f t="shared" si="232"/>
        <v>0</v>
      </c>
      <c r="O1437" s="139">
        <f t="shared" si="233"/>
        <v>1</v>
      </c>
      <c r="Q1437" s="186"/>
      <c r="R1437" s="186" t="s">
        <v>873</v>
      </c>
      <c r="S1437" s="139"/>
      <c r="V1437" s="139"/>
    </row>
    <row r="1438" spans="4:22">
      <c r="D1438" s="139"/>
      <c r="E1438" s="141" t="s">
        <v>1829</v>
      </c>
      <c r="F1438" s="141" t="s">
        <v>1756</v>
      </c>
      <c r="G1438" s="154" t="str">
        <f t="shared" si="235"/>
        <v>/</v>
      </c>
      <c r="H1438" s="141" t="str">
        <f t="shared" si="236"/>
        <v>/</v>
      </c>
      <c r="I1438" s="139" t="e">
        <f t="shared" si="230"/>
        <v>#NUM!</v>
      </c>
      <c r="J1438" s="139" t="e">
        <f t="shared" si="231"/>
        <v>#NUM!</v>
      </c>
      <c r="K1438" s="155">
        <f t="shared" si="234"/>
        <v>-1</v>
      </c>
      <c r="N1438" s="139">
        <f t="shared" si="232"/>
        <v>0</v>
      </c>
      <c r="O1438" s="139">
        <f t="shared" si="233"/>
        <v>1</v>
      </c>
      <c r="Q1438" s="186"/>
      <c r="R1438" s="186" t="s">
        <v>873</v>
      </c>
      <c r="S1438" s="139"/>
      <c r="V1438" s="139"/>
    </row>
    <row r="1439" spans="4:22">
      <c r="D1439" s="139"/>
      <c r="E1439" s="141" t="s">
        <v>1829</v>
      </c>
      <c r="F1439" s="141" t="s">
        <v>1756</v>
      </c>
      <c r="G1439" s="154" t="str">
        <f t="shared" si="235"/>
        <v>/</v>
      </c>
      <c r="H1439" s="141" t="str">
        <f t="shared" si="236"/>
        <v>/</v>
      </c>
      <c r="I1439" s="139" t="e">
        <f t="shared" si="230"/>
        <v>#NUM!</v>
      </c>
      <c r="J1439" s="139" t="e">
        <f t="shared" si="231"/>
        <v>#NUM!</v>
      </c>
      <c r="K1439" s="155">
        <f t="shared" si="234"/>
        <v>-1</v>
      </c>
      <c r="N1439" s="139">
        <f t="shared" si="232"/>
        <v>0</v>
      </c>
      <c r="O1439" s="139">
        <f t="shared" si="233"/>
        <v>1</v>
      </c>
      <c r="Q1439" s="186"/>
      <c r="R1439" s="186" t="s">
        <v>873</v>
      </c>
      <c r="S1439" s="139"/>
      <c r="V1439" s="139"/>
    </row>
    <row r="1440" spans="4:22">
      <c r="D1440" s="139"/>
      <c r="E1440" s="141" t="s">
        <v>1829</v>
      </c>
      <c r="F1440" s="141" t="s">
        <v>1756</v>
      </c>
      <c r="G1440" s="154" t="str">
        <f t="shared" si="235"/>
        <v>/</v>
      </c>
      <c r="H1440" s="141" t="str">
        <f t="shared" si="236"/>
        <v>/</v>
      </c>
      <c r="I1440" s="139" t="e">
        <f t="shared" si="230"/>
        <v>#NUM!</v>
      </c>
      <c r="J1440" s="139" t="e">
        <f t="shared" si="231"/>
        <v>#NUM!</v>
      </c>
      <c r="K1440" s="155">
        <f t="shared" si="234"/>
        <v>-1</v>
      </c>
      <c r="N1440" s="139">
        <f t="shared" si="232"/>
        <v>0</v>
      </c>
      <c r="O1440" s="139">
        <f t="shared" si="233"/>
        <v>1</v>
      </c>
      <c r="Q1440" s="186"/>
      <c r="R1440" s="186" t="s">
        <v>873</v>
      </c>
      <c r="S1440" s="139"/>
      <c r="V1440" s="139"/>
    </row>
    <row r="1441" spans="4:22">
      <c r="D1441" s="139"/>
      <c r="E1441" s="141" t="s">
        <v>1829</v>
      </c>
      <c r="F1441" s="141" t="s">
        <v>1756</v>
      </c>
      <c r="G1441" s="154" t="str">
        <f t="shared" si="235"/>
        <v>/</v>
      </c>
      <c r="H1441" s="141" t="str">
        <f t="shared" si="236"/>
        <v>/</v>
      </c>
      <c r="I1441" s="139" t="e">
        <f t="shared" si="230"/>
        <v>#NUM!</v>
      </c>
      <c r="J1441" s="139" t="e">
        <f t="shared" si="231"/>
        <v>#NUM!</v>
      </c>
      <c r="K1441" s="155">
        <f t="shared" si="234"/>
        <v>-1</v>
      </c>
      <c r="N1441" s="139">
        <f t="shared" si="232"/>
        <v>0</v>
      </c>
      <c r="O1441" s="139">
        <f t="shared" si="233"/>
        <v>1</v>
      </c>
      <c r="Q1441" s="186"/>
      <c r="R1441" s="186" t="s">
        <v>873</v>
      </c>
      <c r="S1441" s="139"/>
      <c r="V1441" s="139"/>
    </row>
    <row r="1442" spans="4:22">
      <c r="D1442" s="139"/>
      <c r="E1442" s="141" t="s">
        <v>1829</v>
      </c>
      <c r="F1442" s="141" t="s">
        <v>1756</v>
      </c>
      <c r="G1442" s="154" t="str">
        <f t="shared" si="235"/>
        <v>/</v>
      </c>
      <c r="H1442" s="141" t="str">
        <f t="shared" si="236"/>
        <v>/</v>
      </c>
      <c r="I1442" s="139" t="e">
        <f t="shared" si="230"/>
        <v>#NUM!</v>
      </c>
      <c r="J1442" s="139" t="e">
        <f t="shared" si="231"/>
        <v>#NUM!</v>
      </c>
      <c r="K1442" s="155">
        <f t="shared" si="234"/>
        <v>-1</v>
      </c>
      <c r="N1442" s="139">
        <f t="shared" si="232"/>
        <v>0</v>
      </c>
      <c r="O1442" s="139">
        <f t="shared" si="233"/>
        <v>1</v>
      </c>
      <c r="Q1442" s="186"/>
      <c r="R1442" s="186" t="s">
        <v>873</v>
      </c>
      <c r="S1442" s="139"/>
      <c r="V1442" s="139"/>
    </row>
    <row r="1443" spans="4:22">
      <c r="D1443" s="139"/>
      <c r="E1443" s="141" t="s">
        <v>1829</v>
      </c>
      <c r="F1443" s="141" t="s">
        <v>1756</v>
      </c>
      <c r="G1443" s="154" t="str">
        <f t="shared" si="235"/>
        <v>/</v>
      </c>
      <c r="H1443" s="141" t="str">
        <f t="shared" si="236"/>
        <v>/</v>
      </c>
      <c r="I1443" s="139" t="e">
        <f t="shared" si="230"/>
        <v>#NUM!</v>
      </c>
      <c r="J1443" s="139" t="e">
        <f t="shared" si="231"/>
        <v>#NUM!</v>
      </c>
      <c r="K1443" s="155">
        <f t="shared" si="234"/>
        <v>-1</v>
      </c>
      <c r="N1443" s="139">
        <f t="shared" si="232"/>
        <v>0</v>
      </c>
      <c r="O1443" s="139">
        <f t="shared" si="233"/>
        <v>1</v>
      </c>
      <c r="Q1443" s="186"/>
      <c r="R1443" s="186" t="s">
        <v>873</v>
      </c>
      <c r="S1443" s="139"/>
      <c r="V1443" s="139"/>
    </row>
    <row r="1444" spans="4:22">
      <c r="D1444" s="139"/>
      <c r="E1444" s="141" t="s">
        <v>1829</v>
      </c>
      <c r="F1444" s="141" t="s">
        <v>1756</v>
      </c>
      <c r="G1444" s="154" t="str">
        <f t="shared" si="235"/>
        <v>/</v>
      </c>
      <c r="H1444" s="141" t="str">
        <f t="shared" si="236"/>
        <v>/</v>
      </c>
      <c r="I1444" s="139" t="e">
        <f t="shared" si="230"/>
        <v>#NUM!</v>
      </c>
      <c r="J1444" s="139" t="e">
        <f t="shared" si="231"/>
        <v>#NUM!</v>
      </c>
      <c r="K1444" s="155">
        <f t="shared" si="234"/>
        <v>-1</v>
      </c>
      <c r="N1444" s="139">
        <f t="shared" si="232"/>
        <v>0</v>
      </c>
      <c r="O1444" s="139">
        <f t="shared" si="233"/>
        <v>1</v>
      </c>
      <c r="Q1444" s="186"/>
      <c r="R1444" s="186" t="s">
        <v>873</v>
      </c>
      <c r="S1444" s="139"/>
      <c r="V1444" s="139"/>
    </row>
    <row r="1445" spans="4:22">
      <c r="D1445" s="139"/>
      <c r="E1445" s="141" t="s">
        <v>1829</v>
      </c>
      <c r="F1445" s="141" t="s">
        <v>1756</v>
      </c>
      <c r="G1445" s="154" t="str">
        <f t="shared" si="235"/>
        <v>/</v>
      </c>
      <c r="H1445" s="141" t="str">
        <f t="shared" si="236"/>
        <v>/</v>
      </c>
      <c r="I1445" s="139" t="e">
        <f t="shared" si="230"/>
        <v>#NUM!</v>
      </c>
      <c r="J1445" s="139" t="e">
        <f t="shared" si="231"/>
        <v>#NUM!</v>
      </c>
      <c r="K1445" s="155">
        <f t="shared" si="234"/>
        <v>-1</v>
      </c>
      <c r="N1445" s="139">
        <f t="shared" si="232"/>
        <v>0</v>
      </c>
      <c r="O1445" s="139">
        <f t="shared" si="233"/>
        <v>1</v>
      </c>
      <c r="Q1445" s="186"/>
      <c r="R1445" s="186" t="s">
        <v>873</v>
      </c>
      <c r="S1445" s="139"/>
      <c r="V1445" s="139"/>
    </row>
    <row r="1446" spans="4:22">
      <c r="D1446" s="139"/>
      <c r="E1446" s="141" t="s">
        <v>1829</v>
      </c>
      <c r="F1446" s="141" t="s">
        <v>1756</v>
      </c>
      <c r="G1446" s="154" t="str">
        <f t="shared" si="235"/>
        <v>/</v>
      </c>
      <c r="H1446" s="141" t="str">
        <f t="shared" si="236"/>
        <v>/</v>
      </c>
      <c r="I1446" s="139" t="e">
        <f t="shared" si="230"/>
        <v>#NUM!</v>
      </c>
      <c r="J1446" s="139" t="e">
        <f t="shared" si="231"/>
        <v>#NUM!</v>
      </c>
      <c r="K1446" s="155">
        <f t="shared" si="234"/>
        <v>-1</v>
      </c>
      <c r="N1446" s="139">
        <f t="shared" si="232"/>
        <v>0</v>
      </c>
      <c r="O1446" s="139">
        <f t="shared" si="233"/>
        <v>1</v>
      </c>
      <c r="Q1446" s="186"/>
      <c r="R1446" s="186" t="s">
        <v>873</v>
      </c>
      <c r="S1446" s="139"/>
      <c r="V1446" s="139"/>
    </row>
    <row r="1447" spans="4:22">
      <c r="D1447" s="139"/>
      <c r="E1447" s="141" t="s">
        <v>1829</v>
      </c>
      <c r="F1447" s="141" t="s">
        <v>1756</v>
      </c>
      <c r="G1447" s="154" t="str">
        <f t="shared" si="235"/>
        <v>/</v>
      </c>
      <c r="H1447" s="141" t="str">
        <f t="shared" si="236"/>
        <v>/</v>
      </c>
      <c r="I1447" s="139" t="e">
        <f t="shared" si="230"/>
        <v>#NUM!</v>
      </c>
      <c r="J1447" s="139" t="e">
        <f t="shared" si="231"/>
        <v>#NUM!</v>
      </c>
      <c r="K1447" s="155">
        <f t="shared" si="234"/>
        <v>-1</v>
      </c>
      <c r="N1447" s="139">
        <f t="shared" si="232"/>
        <v>0</v>
      </c>
      <c r="O1447" s="139">
        <f t="shared" si="233"/>
        <v>1</v>
      </c>
      <c r="Q1447" s="186"/>
      <c r="R1447" s="186" t="s">
        <v>873</v>
      </c>
      <c r="S1447" s="139"/>
      <c r="V1447" s="139"/>
    </row>
    <row r="1448" spans="4:22">
      <c r="D1448" s="139"/>
      <c r="E1448" s="141" t="s">
        <v>1829</v>
      </c>
      <c r="F1448" s="141" t="s">
        <v>1756</v>
      </c>
      <c r="G1448" s="154" t="str">
        <f t="shared" si="235"/>
        <v>/</v>
      </c>
      <c r="H1448" s="141" t="str">
        <f t="shared" si="236"/>
        <v>/</v>
      </c>
      <c r="I1448" s="139" t="e">
        <f t="shared" si="230"/>
        <v>#NUM!</v>
      </c>
      <c r="J1448" s="139" t="e">
        <f t="shared" si="231"/>
        <v>#NUM!</v>
      </c>
      <c r="K1448" s="155">
        <f t="shared" si="234"/>
        <v>-1</v>
      </c>
      <c r="N1448" s="139">
        <f t="shared" si="232"/>
        <v>0</v>
      </c>
      <c r="O1448" s="139">
        <f t="shared" si="233"/>
        <v>1</v>
      </c>
      <c r="Q1448" s="186"/>
      <c r="R1448" s="186" t="s">
        <v>873</v>
      </c>
      <c r="S1448" s="139"/>
      <c r="V1448" s="139"/>
    </row>
    <row r="1449" spans="4:22">
      <c r="D1449" s="139"/>
      <c r="E1449" s="141" t="s">
        <v>1829</v>
      </c>
      <c r="F1449" s="141" t="s">
        <v>1756</v>
      </c>
      <c r="G1449" s="154" t="str">
        <f t="shared" si="235"/>
        <v>/</v>
      </c>
      <c r="H1449" s="141" t="str">
        <f t="shared" si="236"/>
        <v>/</v>
      </c>
      <c r="I1449" s="139" t="e">
        <f t="shared" si="230"/>
        <v>#NUM!</v>
      </c>
      <c r="J1449" s="139" t="e">
        <f t="shared" si="231"/>
        <v>#NUM!</v>
      </c>
      <c r="K1449" s="155">
        <f t="shared" si="234"/>
        <v>-1</v>
      </c>
      <c r="N1449" s="139">
        <f t="shared" si="232"/>
        <v>0</v>
      </c>
      <c r="O1449" s="139">
        <f t="shared" si="233"/>
        <v>1</v>
      </c>
      <c r="Q1449" s="186"/>
      <c r="R1449" s="186" t="s">
        <v>873</v>
      </c>
      <c r="S1449" s="139"/>
      <c r="V1449" s="139"/>
    </row>
    <row r="1450" spans="4:22">
      <c r="D1450" s="139"/>
      <c r="E1450" s="141" t="s">
        <v>1829</v>
      </c>
      <c r="F1450" s="141" t="s">
        <v>1756</v>
      </c>
      <c r="G1450" s="154" t="str">
        <f t="shared" si="235"/>
        <v>/</v>
      </c>
      <c r="H1450" s="141" t="str">
        <f t="shared" si="236"/>
        <v>/</v>
      </c>
      <c r="I1450" s="139" t="e">
        <f t="shared" si="230"/>
        <v>#NUM!</v>
      </c>
      <c r="J1450" s="139" t="e">
        <f t="shared" si="231"/>
        <v>#NUM!</v>
      </c>
      <c r="K1450" s="155">
        <f t="shared" si="234"/>
        <v>-1</v>
      </c>
      <c r="N1450" s="139">
        <f t="shared" si="232"/>
        <v>0</v>
      </c>
      <c r="O1450" s="139">
        <f t="shared" si="233"/>
        <v>1</v>
      </c>
      <c r="Q1450" s="186"/>
      <c r="R1450" s="186" t="s">
        <v>873</v>
      </c>
      <c r="S1450" s="139"/>
      <c r="V1450" s="139"/>
    </row>
    <row r="1451" spans="4:22">
      <c r="D1451" s="139"/>
      <c r="E1451" s="141" t="s">
        <v>1829</v>
      </c>
      <c r="F1451" s="141" t="s">
        <v>1756</v>
      </c>
      <c r="G1451" s="154" t="str">
        <f t="shared" si="235"/>
        <v>/</v>
      </c>
      <c r="H1451" s="141" t="str">
        <f t="shared" si="236"/>
        <v>/</v>
      </c>
      <c r="I1451" s="139" t="e">
        <f t="shared" si="230"/>
        <v>#NUM!</v>
      </c>
      <c r="J1451" s="139" t="e">
        <f t="shared" si="231"/>
        <v>#NUM!</v>
      </c>
      <c r="K1451" s="155">
        <f t="shared" si="234"/>
        <v>-1</v>
      </c>
      <c r="N1451" s="139">
        <f t="shared" si="232"/>
        <v>0</v>
      </c>
      <c r="O1451" s="139">
        <f t="shared" si="233"/>
        <v>1</v>
      </c>
      <c r="Q1451" s="186"/>
      <c r="R1451" s="186" t="s">
        <v>873</v>
      </c>
      <c r="S1451" s="139"/>
      <c r="V1451" s="139"/>
    </row>
    <row r="1452" spans="4:22">
      <c r="D1452" s="139"/>
      <c r="E1452" s="141" t="s">
        <v>1829</v>
      </c>
      <c r="F1452" s="141" t="s">
        <v>1756</v>
      </c>
      <c r="G1452" s="154" t="str">
        <f t="shared" si="235"/>
        <v>/</v>
      </c>
      <c r="H1452" s="141" t="str">
        <f t="shared" si="236"/>
        <v>/</v>
      </c>
      <c r="I1452" s="139" t="e">
        <f t="shared" si="230"/>
        <v>#NUM!</v>
      </c>
      <c r="J1452" s="139" t="e">
        <f t="shared" si="231"/>
        <v>#NUM!</v>
      </c>
      <c r="K1452" s="155">
        <f t="shared" si="234"/>
        <v>-1</v>
      </c>
      <c r="N1452" s="139">
        <f t="shared" si="232"/>
        <v>0</v>
      </c>
      <c r="O1452" s="139">
        <f t="shared" si="233"/>
        <v>1</v>
      </c>
      <c r="Q1452" s="186"/>
      <c r="R1452" s="186" t="s">
        <v>873</v>
      </c>
      <c r="S1452" s="139"/>
      <c r="V1452" s="139"/>
    </row>
    <row r="1453" spans="4:22">
      <c r="D1453" s="139"/>
      <c r="E1453" s="141" t="s">
        <v>1829</v>
      </c>
      <c r="F1453" s="141" t="s">
        <v>1756</v>
      </c>
      <c r="G1453" s="154" t="str">
        <f t="shared" si="235"/>
        <v>/</v>
      </c>
      <c r="H1453" s="141" t="str">
        <f t="shared" si="236"/>
        <v>/</v>
      </c>
      <c r="I1453" s="139" t="e">
        <f t="shared" si="230"/>
        <v>#NUM!</v>
      </c>
      <c r="J1453" s="139" t="e">
        <f t="shared" si="231"/>
        <v>#NUM!</v>
      </c>
      <c r="K1453" s="155">
        <f t="shared" si="234"/>
        <v>-1</v>
      </c>
      <c r="N1453" s="139">
        <f t="shared" si="232"/>
        <v>0</v>
      </c>
      <c r="O1453" s="139">
        <f t="shared" si="233"/>
        <v>1</v>
      </c>
      <c r="Q1453" s="186"/>
      <c r="R1453" s="186" t="s">
        <v>873</v>
      </c>
      <c r="S1453" s="139"/>
      <c r="V1453" s="139"/>
    </row>
    <row r="1454" spans="4:22">
      <c r="D1454" s="139"/>
      <c r="E1454" s="141" t="s">
        <v>1829</v>
      </c>
      <c r="F1454" s="141" t="s">
        <v>1756</v>
      </c>
      <c r="G1454" s="154" t="str">
        <f t="shared" si="235"/>
        <v>/</v>
      </c>
      <c r="H1454" s="141" t="str">
        <f t="shared" si="236"/>
        <v>/</v>
      </c>
      <c r="I1454" s="139" t="e">
        <f t="shared" si="230"/>
        <v>#NUM!</v>
      </c>
      <c r="J1454" s="139" t="e">
        <f t="shared" si="231"/>
        <v>#NUM!</v>
      </c>
      <c r="K1454" s="155">
        <f t="shared" si="234"/>
        <v>-1</v>
      </c>
      <c r="N1454" s="139">
        <f t="shared" si="232"/>
        <v>0</v>
      </c>
      <c r="O1454" s="139">
        <f t="shared" si="233"/>
        <v>1</v>
      </c>
      <c r="Q1454" s="186"/>
      <c r="R1454" s="186" t="s">
        <v>873</v>
      </c>
      <c r="S1454" s="139"/>
      <c r="V1454" s="139"/>
    </row>
    <row r="1455" spans="4:22">
      <c r="D1455" s="139"/>
      <c r="E1455" s="141" t="s">
        <v>1829</v>
      </c>
      <c r="F1455" s="141" t="s">
        <v>1756</v>
      </c>
      <c r="G1455" s="154" t="str">
        <f t="shared" si="235"/>
        <v>/</v>
      </c>
      <c r="H1455" s="141" t="str">
        <f t="shared" si="236"/>
        <v>/</v>
      </c>
      <c r="I1455" s="139" t="e">
        <f t="shared" si="230"/>
        <v>#NUM!</v>
      </c>
      <c r="J1455" s="139" t="e">
        <f t="shared" si="231"/>
        <v>#NUM!</v>
      </c>
      <c r="K1455" s="155">
        <f t="shared" si="234"/>
        <v>-1</v>
      </c>
      <c r="N1455" s="139">
        <f t="shared" si="232"/>
        <v>0</v>
      </c>
      <c r="O1455" s="139">
        <f t="shared" si="233"/>
        <v>1</v>
      </c>
      <c r="Q1455" s="186"/>
      <c r="R1455" s="186" t="s">
        <v>873</v>
      </c>
      <c r="S1455" s="139"/>
      <c r="V1455" s="139"/>
    </row>
    <row r="1456" spans="4:22">
      <c r="D1456" s="139"/>
      <c r="E1456" s="141" t="s">
        <v>1829</v>
      </c>
      <c r="F1456" s="141" t="s">
        <v>1756</v>
      </c>
      <c r="G1456" s="154" t="str">
        <f t="shared" si="235"/>
        <v>/</v>
      </c>
      <c r="H1456" s="141" t="str">
        <f t="shared" si="236"/>
        <v>/</v>
      </c>
      <c r="I1456" s="139" t="e">
        <f t="shared" si="230"/>
        <v>#NUM!</v>
      </c>
      <c r="J1456" s="139" t="e">
        <f t="shared" si="231"/>
        <v>#NUM!</v>
      </c>
      <c r="K1456" s="155">
        <f t="shared" si="234"/>
        <v>-1</v>
      </c>
      <c r="N1456" s="139">
        <f t="shared" si="232"/>
        <v>0</v>
      </c>
      <c r="O1456" s="139">
        <f t="shared" si="233"/>
        <v>1</v>
      </c>
      <c r="Q1456" s="186"/>
      <c r="R1456" s="186" t="s">
        <v>873</v>
      </c>
      <c r="S1456" s="139"/>
      <c r="V1456" s="139"/>
    </row>
    <row r="1457" spans="4:22">
      <c r="D1457" s="139"/>
      <c r="E1457" s="141" t="s">
        <v>1829</v>
      </c>
      <c r="F1457" s="141" t="s">
        <v>1756</v>
      </c>
      <c r="G1457" s="154" t="str">
        <f t="shared" si="235"/>
        <v>/</v>
      </c>
      <c r="H1457" s="141" t="str">
        <f t="shared" si="236"/>
        <v>/</v>
      </c>
      <c r="I1457" s="139" t="e">
        <f t="shared" si="230"/>
        <v>#NUM!</v>
      </c>
      <c r="J1457" s="139" t="e">
        <f t="shared" si="231"/>
        <v>#NUM!</v>
      </c>
      <c r="K1457" s="155">
        <f t="shared" si="234"/>
        <v>-1</v>
      </c>
      <c r="N1457" s="139">
        <f t="shared" si="232"/>
        <v>0</v>
      </c>
      <c r="O1457" s="139">
        <f t="shared" si="233"/>
        <v>1</v>
      </c>
      <c r="Q1457" s="186"/>
      <c r="R1457" s="186" t="s">
        <v>873</v>
      </c>
      <c r="S1457" s="139"/>
      <c r="V1457" s="139"/>
    </row>
    <row r="1458" spans="4:22">
      <c r="D1458" s="139"/>
      <c r="E1458" s="141" t="s">
        <v>1829</v>
      </c>
      <c r="F1458" s="141" t="s">
        <v>1756</v>
      </c>
      <c r="G1458" s="154" t="str">
        <f t="shared" si="235"/>
        <v>/</v>
      </c>
      <c r="H1458" s="141" t="str">
        <f t="shared" si="236"/>
        <v>/</v>
      </c>
      <c r="I1458" s="139" t="e">
        <f t="shared" si="230"/>
        <v>#NUM!</v>
      </c>
      <c r="J1458" s="139" t="e">
        <f t="shared" si="231"/>
        <v>#NUM!</v>
      </c>
      <c r="K1458" s="155">
        <f t="shared" si="234"/>
        <v>-1</v>
      </c>
      <c r="N1458" s="139">
        <f t="shared" si="232"/>
        <v>0</v>
      </c>
      <c r="O1458" s="139">
        <f t="shared" si="233"/>
        <v>1</v>
      </c>
      <c r="Q1458" s="186"/>
      <c r="R1458" s="186" t="s">
        <v>873</v>
      </c>
      <c r="S1458" s="139"/>
      <c r="V1458" s="139"/>
    </row>
    <row r="1459" spans="4:22">
      <c r="D1459" s="139"/>
      <c r="E1459" s="141" t="s">
        <v>1829</v>
      </c>
      <c r="F1459" s="141" t="s">
        <v>1756</v>
      </c>
      <c r="G1459" s="154" t="str">
        <f t="shared" si="235"/>
        <v>/</v>
      </c>
      <c r="H1459" s="141" t="str">
        <f t="shared" si="236"/>
        <v>/</v>
      </c>
      <c r="I1459" s="139" t="e">
        <f t="shared" ref="I1459:I1522" si="237">DAY(K1459)</f>
        <v>#NUM!</v>
      </c>
      <c r="J1459" s="139" t="e">
        <f t="shared" ref="J1459:J1522" si="238">MONTH(K1459)</f>
        <v>#NUM!</v>
      </c>
      <c r="K1459" s="155">
        <f t="shared" si="234"/>
        <v>-1</v>
      </c>
      <c r="N1459" s="139">
        <f t="shared" ref="N1459:N1522" si="239">DAY(P1459)</f>
        <v>0</v>
      </c>
      <c r="O1459" s="139">
        <f t="shared" ref="O1459:O1522" si="240">MONTH(P1459)</f>
        <v>1</v>
      </c>
      <c r="Q1459" s="186"/>
      <c r="R1459" s="186" t="s">
        <v>873</v>
      </c>
      <c r="S1459" s="139"/>
      <c r="V1459" s="139"/>
    </row>
    <row r="1460" spans="4:22">
      <c r="D1460" s="139"/>
      <c r="E1460" s="141" t="s">
        <v>1829</v>
      </c>
      <c r="F1460" s="141" t="s">
        <v>1756</v>
      </c>
      <c r="G1460" s="154" t="str">
        <f t="shared" si="235"/>
        <v>/</v>
      </c>
      <c r="H1460" s="141" t="str">
        <f t="shared" si="236"/>
        <v>/</v>
      </c>
      <c r="I1460" s="139" t="e">
        <f t="shared" si="237"/>
        <v>#NUM!</v>
      </c>
      <c r="J1460" s="139" t="e">
        <f t="shared" si="238"/>
        <v>#NUM!</v>
      </c>
      <c r="K1460" s="155">
        <f t="shared" si="234"/>
        <v>-1</v>
      </c>
      <c r="N1460" s="139">
        <f t="shared" si="239"/>
        <v>0</v>
      </c>
      <c r="O1460" s="139">
        <f t="shared" si="240"/>
        <v>1</v>
      </c>
      <c r="Q1460" s="186"/>
      <c r="R1460" s="186" t="s">
        <v>873</v>
      </c>
      <c r="S1460" s="139"/>
      <c r="V1460" s="139"/>
    </row>
    <row r="1461" spans="4:22">
      <c r="D1461" s="139"/>
      <c r="E1461" s="141" t="s">
        <v>1829</v>
      </c>
      <c r="F1461" s="141" t="s">
        <v>1756</v>
      </c>
      <c r="G1461" s="154" t="str">
        <f t="shared" si="235"/>
        <v>/</v>
      </c>
      <c r="H1461" s="141" t="str">
        <f t="shared" si="236"/>
        <v>/</v>
      </c>
      <c r="I1461" s="139" t="e">
        <f t="shared" si="237"/>
        <v>#NUM!</v>
      </c>
      <c r="J1461" s="139" t="e">
        <f t="shared" si="238"/>
        <v>#NUM!</v>
      </c>
      <c r="K1461" s="155">
        <f t="shared" si="234"/>
        <v>-1</v>
      </c>
      <c r="N1461" s="139">
        <f t="shared" si="239"/>
        <v>0</v>
      </c>
      <c r="O1461" s="139">
        <f t="shared" si="240"/>
        <v>1</v>
      </c>
      <c r="Q1461" s="186"/>
      <c r="R1461" s="186" t="s">
        <v>873</v>
      </c>
      <c r="S1461" s="139"/>
      <c r="V1461" s="139"/>
    </row>
    <row r="1462" spans="4:22">
      <c r="D1462" s="139"/>
      <c r="E1462" s="141" t="s">
        <v>1829</v>
      </c>
      <c r="F1462" s="141" t="s">
        <v>1756</v>
      </c>
      <c r="G1462" s="154" t="str">
        <f t="shared" si="235"/>
        <v>/</v>
      </c>
      <c r="H1462" s="141" t="str">
        <f t="shared" si="236"/>
        <v>/</v>
      </c>
      <c r="I1462" s="139" t="e">
        <f t="shared" si="237"/>
        <v>#NUM!</v>
      </c>
      <c r="J1462" s="139" t="e">
        <f t="shared" si="238"/>
        <v>#NUM!</v>
      </c>
      <c r="K1462" s="155">
        <f t="shared" si="234"/>
        <v>-1</v>
      </c>
      <c r="N1462" s="139">
        <f t="shared" si="239"/>
        <v>0</v>
      </c>
      <c r="O1462" s="139">
        <f t="shared" si="240"/>
        <v>1</v>
      </c>
      <c r="Q1462" s="186"/>
      <c r="R1462" s="186" t="s">
        <v>873</v>
      </c>
      <c r="S1462" s="139"/>
      <c r="V1462" s="139"/>
    </row>
    <row r="1463" spans="4:22">
      <c r="D1463" s="139"/>
      <c r="E1463" s="141" t="s">
        <v>1829</v>
      </c>
      <c r="F1463" s="141" t="s">
        <v>1756</v>
      </c>
      <c r="G1463" s="154" t="str">
        <f t="shared" si="235"/>
        <v>/</v>
      </c>
      <c r="H1463" s="141" t="str">
        <f t="shared" si="236"/>
        <v>/</v>
      </c>
      <c r="I1463" s="139" t="e">
        <f t="shared" si="237"/>
        <v>#NUM!</v>
      </c>
      <c r="J1463" s="139" t="e">
        <f t="shared" si="238"/>
        <v>#NUM!</v>
      </c>
      <c r="K1463" s="155">
        <f t="shared" si="234"/>
        <v>-1</v>
      </c>
      <c r="N1463" s="139">
        <f t="shared" si="239"/>
        <v>0</v>
      </c>
      <c r="O1463" s="139">
        <f t="shared" si="240"/>
        <v>1</v>
      </c>
      <c r="Q1463" s="186"/>
      <c r="R1463" s="186" t="s">
        <v>873</v>
      </c>
      <c r="S1463" s="139"/>
      <c r="V1463" s="139"/>
    </row>
    <row r="1464" spans="4:22">
      <c r="D1464" s="139"/>
      <c r="E1464" s="141" t="s">
        <v>1829</v>
      </c>
      <c r="F1464" s="141" t="s">
        <v>1756</v>
      </c>
      <c r="G1464" s="154" t="str">
        <f t="shared" si="235"/>
        <v>/</v>
      </c>
      <c r="H1464" s="141" t="str">
        <f t="shared" si="236"/>
        <v>/</v>
      </c>
      <c r="I1464" s="139" t="e">
        <f t="shared" si="237"/>
        <v>#NUM!</v>
      </c>
      <c r="J1464" s="139" t="e">
        <f t="shared" si="238"/>
        <v>#NUM!</v>
      </c>
      <c r="K1464" s="155">
        <f t="shared" si="234"/>
        <v>-1</v>
      </c>
      <c r="N1464" s="139">
        <f t="shared" si="239"/>
        <v>0</v>
      </c>
      <c r="O1464" s="139">
        <f t="shared" si="240"/>
        <v>1</v>
      </c>
      <c r="Q1464" s="186"/>
      <c r="R1464" s="186" t="s">
        <v>873</v>
      </c>
      <c r="S1464" s="139"/>
      <c r="V1464" s="139"/>
    </row>
    <row r="1465" spans="4:22">
      <c r="D1465" s="139"/>
      <c r="E1465" s="141" t="s">
        <v>1829</v>
      </c>
      <c r="F1465" s="141" t="s">
        <v>1756</v>
      </c>
      <c r="G1465" s="154" t="str">
        <f t="shared" si="235"/>
        <v>/</v>
      </c>
      <c r="H1465" s="141" t="str">
        <f t="shared" si="236"/>
        <v>/</v>
      </c>
      <c r="I1465" s="139" t="e">
        <f t="shared" si="237"/>
        <v>#NUM!</v>
      </c>
      <c r="J1465" s="139" t="e">
        <f t="shared" si="238"/>
        <v>#NUM!</v>
      </c>
      <c r="K1465" s="155">
        <f t="shared" si="234"/>
        <v>-1</v>
      </c>
      <c r="N1465" s="139">
        <f t="shared" si="239"/>
        <v>0</v>
      </c>
      <c r="O1465" s="139">
        <f t="shared" si="240"/>
        <v>1</v>
      </c>
      <c r="Q1465" s="186"/>
      <c r="R1465" s="186" t="s">
        <v>873</v>
      </c>
      <c r="S1465" s="139"/>
      <c r="V1465" s="139"/>
    </row>
    <row r="1466" spans="4:22">
      <c r="D1466" s="139"/>
      <c r="E1466" s="141" t="s">
        <v>1829</v>
      </c>
      <c r="F1466" s="141" t="s">
        <v>1756</v>
      </c>
      <c r="G1466" s="154" t="str">
        <f t="shared" si="235"/>
        <v>/</v>
      </c>
      <c r="H1466" s="141" t="str">
        <f t="shared" si="236"/>
        <v>/</v>
      </c>
      <c r="I1466" s="139" t="e">
        <f t="shared" si="237"/>
        <v>#NUM!</v>
      </c>
      <c r="J1466" s="139" t="e">
        <f t="shared" si="238"/>
        <v>#NUM!</v>
      </c>
      <c r="K1466" s="155">
        <f t="shared" ref="K1466:K1526" si="241">P1466-1</f>
        <v>-1</v>
      </c>
      <c r="N1466" s="139">
        <f t="shared" si="239"/>
        <v>0</v>
      </c>
      <c r="O1466" s="139">
        <f t="shared" si="240"/>
        <v>1</v>
      </c>
      <c r="Q1466" s="186"/>
      <c r="R1466" s="186" t="s">
        <v>873</v>
      </c>
      <c r="S1466" s="139"/>
      <c r="V1466" s="139"/>
    </row>
    <row r="1467" spans="4:22">
      <c r="D1467" s="139"/>
      <c r="E1467" s="141" t="s">
        <v>1829</v>
      </c>
      <c r="F1467" s="141" t="s">
        <v>1756</v>
      </c>
      <c r="G1467" s="154" t="str">
        <f t="shared" si="235"/>
        <v>/</v>
      </c>
      <c r="H1467" s="141" t="str">
        <f t="shared" si="236"/>
        <v>/</v>
      </c>
      <c r="I1467" s="139" t="e">
        <f t="shared" si="237"/>
        <v>#NUM!</v>
      </c>
      <c r="J1467" s="139" t="e">
        <f t="shared" si="238"/>
        <v>#NUM!</v>
      </c>
      <c r="K1467" s="155">
        <f t="shared" si="241"/>
        <v>-1</v>
      </c>
      <c r="N1467" s="139">
        <f t="shared" si="239"/>
        <v>0</v>
      </c>
      <c r="O1467" s="139">
        <f t="shared" si="240"/>
        <v>1</v>
      </c>
      <c r="Q1467" s="186"/>
      <c r="R1467" s="186" t="s">
        <v>873</v>
      </c>
      <c r="S1467" s="139"/>
      <c r="V1467" s="139"/>
    </row>
    <row r="1468" spans="4:22">
      <c r="D1468" s="139"/>
      <c r="E1468" s="141" t="s">
        <v>1829</v>
      </c>
      <c r="F1468" s="141" t="s">
        <v>1756</v>
      </c>
      <c r="G1468" s="154" t="str">
        <f t="shared" si="235"/>
        <v>/</v>
      </c>
      <c r="H1468" s="141" t="str">
        <f t="shared" si="236"/>
        <v>/</v>
      </c>
      <c r="I1468" s="139" t="e">
        <f t="shared" si="237"/>
        <v>#NUM!</v>
      </c>
      <c r="J1468" s="139" t="e">
        <f t="shared" si="238"/>
        <v>#NUM!</v>
      </c>
      <c r="K1468" s="155">
        <f t="shared" si="241"/>
        <v>-1</v>
      </c>
      <c r="N1468" s="139">
        <f t="shared" si="239"/>
        <v>0</v>
      </c>
      <c r="O1468" s="139">
        <f t="shared" si="240"/>
        <v>1</v>
      </c>
      <c r="Q1468" s="186"/>
      <c r="R1468" s="186" t="s">
        <v>873</v>
      </c>
      <c r="S1468" s="139"/>
      <c r="V1468" s="139"/>
    </row>
    <row r="1469" spans="4:22">
      <c r="D1469" s="139"/>
      <c r="E1469" s="141" t="s">
        <v>1829</v>
      </c>
      <c r="F1469" s="141" t="s">
        <v>1756</v>
      </c>
      <c r="G1469" s="154" t="str">
        <f t="shared" si="235"/>
        <v>/</v>
      </c>
      <c r="H1469" s="141" t="str">
        <f t="shared" si="236"/>
        <v>/</v>
      </c>
      <c r="I1469" s="139" t="e">
        <f t="shared" si="237"/>
        <v>#NUM!</v>
      </c>
      <c r="J1469" s="139" t="e">
        <f t="shared" si="238"/>
        <v>#NUM!</v>
      </c>
      <c r="K1469" s="155">
        <f t="shared" si="241"/>
        <v>-1</v>
      </c>
      <c r="N1469" s="139">
        <f t="shared" si="239"/>
        <v>0</v>
      </c>
      <c r="O1469" s="139">
        <f t="shared" si="240"/>
        <v>1</v>
      </c>
      <c r="Q1469" s="186"/>
      <c r="R1469" s="186" t="s">
        <v>873</v>
      </c>
      <c r="S1469" s="139"/>
      <c r="V1469" s="139"/>
    </row>
    <row r="1470" spans="4:22">
      <c r="D1470" s="139"/>
      <c r="E1470" s="141" t="s">
        <v>1829</v>
      </c>
      <c r="F1470" s="141" t="s">
        <v>1756</v>
      </c>
      <c r="G1470" s="154" t="str">
        <f t="shared" si="235"/>
        <v>/</v>
      </c>
      <c r="H1470" s="141" t="str">
        <f t="shared" si="236"/>
        <v>/</v>
      </c>
      <c r="I1470" s="139" t="e">
        <f t="shared" si="237"/>
        <v>#NUM!</v>
      </c>
      <c r="J1470" s="139" t="e">
        <f t="shared" si="238"/>
        <v>#NUM!</v>
      </c>
      <c r="K1470" s="155">
        <f t="shared" si="241"/>
        <v>-1</v>
      </c>
      <c r="N1470" s="139">
        <f t="shared" si="239"/>
        <v>0</v>
      </c>
      <c r="O1470" s="139">
        <f t="shared" si="240"/>
        <v>1</v>
      </c>
      <c r="Q1470" s="186"/>
      <c r="R1470" s="186" t="s">
        <v>873</v>
      </c>
      <c r="S1470" s="139"/>
      <c r="V1470" s="139"/>
    </row>
    <row r="1471" spans="4:22">
      <c r="D1471" s="139"/>
      <c r="E1471" s="141" t="s">
        <v>1829</v>
      </c>
      <c r="F1471" s="141" t="s">
        <v>1756</v>
      </c>
      <c r="G1471" s="154" t="str">
        <f t="shared" si="235"/>
        <v>/</v>
      </c>
      <c r="H1471" s="141" t="str">
        <f t="shared" si="236"/>
        <v>/</v>
      </c>
      <c r="I1471" s="139" t="e">
        <f t="shared" si="237"/>
        <v>#NUM!</v>
      </c>
      <c r="J1471" s="139" t="e">
        <f t="shared" si="238"/>
        <v>#NUM!</v>
      </c>
      <c r="K1471" s="155">
        <f t="shared" si="241"/>
        <v>-1</v>
      </c>
      <c r="N1471" s="139">
        <f t="shared" si="239"/>
        <v>0</v>
      </c>
      <c r="O1471" s="139">
        <f t="shared" si="240"/>
        <v>1</v>
      </c>
      <c r="Q1471" s="186"/>
      <c r="R1471" s="186" t="s">
        <v>873</v>
      </c>
      <c r="S1471" s="139"/>
      <c r="V1471" s="139"/>
    </row>
    <row r="1472" spans="4:22">
      <c r="D1472" s="139"/>
      <c r="E1472" s="141" t="s">
        <v>1829</v>
      </c>
      <c r="F1472" s="141" t="s">
        <v>1756</v>
      </c>
      <c r="G1472" s="154" t="str">
        <f t="shared" si="235"/>
        <v>/</v>
      </c>
      <c r="H1472" s="141" t="str">
        <f t="shared" si="236"/>
        <v>/</v>
      </c>
      <c r="I1472" s="139" t="e">
        <f t="shared" si="237"/>
        <v>#NUM!</v>
      </c>
      <c r="J1472" s="139" t="e">
        <f t="shared" si="238"/>
        <v>#NUM!</v>
      </c>
      <c r="K1472" s="155">
        <f t="shared" si="241"/>
        <v>-1</v>
      </c>
      <c r="N1472" s="139">
        <f t="shared" si="239"/>
        <v>0</v>
      </c>
      <c r="O1472" s="139">
        <f t="shared" si="240"/>
        <v>1</v>
      </c>
      <c r="Q1472" s="186"/>
      <c r="R1472" s="186" t="s">
        <v>873</v>
      </c>
      <c r="S1472" s="139"/>
      <c r="V1472" s="139"/>
    </row>
    <row r="1473" spans="4:22">
      <c r="D1473" s="139"/>
      <c r="E1473" s="141" t="s">
        <v>1829</v>
      </c>
      <c r="F1473" s="141" t="s">
        <v>1756</v>
      </c>
      <c r="G1473" s="154" t="str">
        <f t="shared" ref="G1473:G1526" si="242">A1473&amp;"/"&amp;B1473</f>
        <v>/</v>
      </c>
      <c r="H1473" s="141" t="str">
        <f t="shared" ref="H1473:H1526" si="243">A1473&amp;"/"&amp;B1473</f>
        <v>/</v>
      </c>
      <c r="I1473" s="139" t="e">
        <f t="shared" si="237"/>
        <v>#NUM!</v>
      </c>
      <c r="J1473" s="139" t="e">
        <f t="shared" si="238"/>
        <v>#NUM!</v>
      </c>
      <c r="K1473" s="155">
        <f t="shared" si="241"/>
        <v>-1</v>
      </c>
      <c r="N1473" s="139">
        <f t="shared" si="239"/>
        <v>0</v>
      </c>
      <c r="O1473" s="139">
        <f t="shared" si="240"/>
        <v>1</v>
      </c>
      <c r="Q1473" s="186"/>
      <c r="R1473" s="186" t="s">
        <v>873</v>
      </c>
      <c r="S1473" s="139"/>
      <c r="V1473" s="139"/>
    </row>
    <row r="1474" spans="4:22">
      <c r="D1474" s="139"/>
      <c r="E1474" s="141" t="s">
        <v>1829</v>
      </c>
      <c r="F1474" s="141" t="s">
        <v>1756</v>
      </c>
      <c r="G1474" s="154" t="str">
        <f t="shared" si="242"/>
        <v>/</v>
      </c>
      <c r="H1474" s="141" t="str">
        <f t="shared" si="243"/>
        <v>/</v>
      </c>
      <c r="I1474" s="139" t="e">
        <f t="shared" si="237"/>
        <v>#NUM!</v>
      </c>
      <c r="J1474" s="139" t="e">
        <f t="shared" si="238"/>
        <v>#NUM!</v>
      </c>
      <c r="K1474" s="155">
        <f t="shared" si="241"/>
        <v>-1</v>
      </c>
      <c r="N1474" s="139">
        <f t="shared" si="239"/>
        <v>0</v>
      </c>
      <c r="O1474" s="139">
        <f t="shared" si="240"/>
        <v>1</v>
      </c>
      <c r="Q1474" s="186"/>
      <c r="R1474" s="186" t="s">
        <v>873</v>
      </c>
      <c r="S1474" s="139"/>
      <c r="V1474" s="139"/>
    </row>
    <row r="1475" spans="4:22">
      <c r="D1475" s="139"/>
      <c r="E1475" s="141" t="s">
        <v>1829</v>
      </c>
      <c r="F1475" s="141" t="s">
        <v>1756</v>
      </c>
      <c r="G1475" s="154" t="str">
        <f t="shared" si="242"/>
        <v>/</v>
      </c>
      <c r="H1475" s="141" t="str">
        <f t="shared" si="243"/>
        <v>/</v>
      </c>
      <c r="I1475" s="139" t="e">
        <f t="shared" si="237"/>
        <v>#NUM!</v>
      </c>
      <c r="J1475" s="139" t="e">
        <f t="shared" si="238"/>
        <v>#NUM!</v>
      </c>
      <c r="K1475" s="155">
        <f t="shared" si="241"/>
        <v>-1</v>
      </c>
      <c r="N1475" s="139">
        <f t="shared" si="239"/>
        <v>0</v>
      </c>
      <c r="O1475" s="139">
        <f t="shared" si="240"/>
        <v>1</v>
      </c>
      <c r="Q1475" s="186"/>
      <c r="R1475" s="186" t="s">
        <v>873</v>
      </c>
      <c r="S1475" s="139"/>
      <c r="V1475" s="139"/>
    </row>
    <row r="1476" spans="4:22">
      <c r="D1476" s="139"/>
      <c r="E1476" s="141" t="s">
        <v>1829</v>
      </c>
      <c r="F1476" s="141" t="s">
        <v>1756</v>
      </c>
      <c r="G1476" s="154" t="str">
        <f t="shared" si="242"/>
        <v>/</v>
      </c>
      <c r="H1476" s="141" t="str">
        <f t="shared" si="243"/>
        <v>/</v>
      </c>
      <c r="I1476" s="139" t="e">
        <f t="shared" si="237"/>
        <v>#NUM!</v>
      </c>
      <c r="J1476" s="139" t="e">
        <f t="shared" si="238"/>
        <v>#NUM!</v>
      </c>
      <c r="K1476" s="155">
        <f t="shared" si="241"/>
        <v>-1</v>
      </c>
      <c r="N1476" s="139">
        <f t="shared" si="239"/>
        <v>0</v>
      </c>
      <c r="O1476" s="139">
        <f t="shared" si="240"/>
        <v>1</v>
      </c>
      <c r="Q1476" s="186"/>
      <c r="R1476" s="186" t="s">
        <v>873</v>
      </c>
      <c r="S1476" s="139"/>
      <c r="V1476" s="139"/>
    </row>
    <row r="1477" spans="4:22">
      <c r="D1477" s="139"/>
      <c r="E1477" s="141" t="s">
        <v>1829</v>
      </c>
      <c r="F1477" s="141" t="s">
        <v>1756</v>
      </c>
      <c r="G1477" s="154" t="str">
        <f t="shared" si="242"/>
        <v>/</v>
      </c>
      <c r="H1477" s="141" t="str">
        <f t="shared" si="243"/>
        <v>/</v>
      </c>
      <c r="I1477" s="139" t="e">
        <f t="shared" si="237"/>
        <v>#NUM!</v>
      </c>
      <c r="J1477" s="139" t="e">
        <f t="shared" si="238"/>
        <v>#NUM!</v>
      </c>
      <c r="K1477" s="155">
        <f t="shared" si="241"/>
        <v>-1</v>
      </c>
      <c r="N1477" s="139">
        <f t="shared" si="239"/>
        <v>0</v>
      </c>
      <c r="O1477" s="139">
        <f t="shared" si="240"/>
        <v>1</v>
      </c>
      <c r="Q1477" s="186"/>
      <c r="R1477" s="186" t="s">
        <v>873</v>
      </c>
      <c r="S1477" s="139"/>
      <c r="V1477" s="139"/>
    </row>
    <row r="1478" spans="4:22">
      <c r="D1478" s="139"/>
      <c r="E1478" s="141" t="s">
        <v>1829</v>
      </c>
      <c r="F1478" s="141" t="s">
        <v>1756</v>
      </c>
      <c r="G1478" s="154" t="str">
        <f t="shared" si="242"/>
        <v>/</v>
      </c>
      <c r="H1478" s="141" t="str">
        <f t="shared" si="243"/>
        <v>/</v>
      </c>
      <c r="I1478" s="139" t="e">
        <f t="shared" si="237"/>
        <v>#NUM!</v>
      </c>
      <c r="J1478" s="139" t="e">
        <f t="shared" si="238"/>
        <v>#NUM!</v>
      </c>
      <c r="K1478" s="155">
        <f t="shared" si="241"/>
        <v>-1</v>
      </c>
      <c r="N1478" s="139">
        <f t="shared" si="239"/>
        <v>0</v>
      </c>
      <c r="O1478" s="139">
        <f t="shared" si="240"/>
        <v>1</v>
      </c>
      <c r="Q1478" s="186"/>
      <c r="R1478" s="186" t="s">
        <v>873</v>
      </c>
      <c r="S1478" s="139"/>
      <c r="V1478" s="139"/>
    </row>
    <row r="1479" spans="4:22">
      <c r="D1479" s="139"/>
      <c r="E1479" s="141" t="s">
        <v>1829</v>
      </c>
      <c r="F1479" s="141" t="s">
        <v>1756</v>
      </c>
      <c r="G1479" s="154" t="str">
        <f t="shared" si="242"/>
        <v>/</v>
      </c>
      <c r="H1479" s="141" t="str">
        <f t="shared" si="243"/>
        <v>/</v>
      </c>
      <c r="I1479" s="139" t="e">
        <f t="shared" si="237"/>
        <v>#NUM!</v>
      </c>
      <c r="J1479" s="139" t="e">
        <f t="shared" si="238"/>
        <v>#NUM!</v>
      </c>
      <c r="K1479" s="155">
        <f t="shared" si="241"/>
        <v>-1</v>
      </c>
      <c r="N1479" s="139">
        <f t="shared" si="239"/>
        <v>0</v>
      </c>
      <c r="O1479" s="139">
        <f t="shared" si="240"/>
        <v>1</v>
      </c>
      <c r="Q1479" s="186"/>
      <c r="R1479" s="186" t="s">
        <v>873</v>
      </c>
      <c r="S1479" s="139"/>
      <c r="V1479" s="139"/>
    </row>
    <row r="1480" spans="4:22">
      <c r="D1480" s="139"/>
      <c r="E1480" s="141" t="s">
        <v>1829</v>
      </c>
      <c r="F1480" s="141" t="s">
        <v>1756</v>
      </c>
      <c r="G1480" s="154" t="str">
        <f t="shared" si="242"/>
        <v>/</v>
      </c>
      <c r="H1480" s="141" t="str">
        <f t="shared" si="243"/>
        <v>/</v>
      </c>
      <c r="I1480" s="139" t="e">
        <f t="shared" si="237"/>
        <v>#NUM!</v>
      </c>
      <c r="J1480" s="139" t="e">
        <f t="shared" si="238"/>
        <v>#NUM!</v>
      </c>
      <c r="K1480" s="155">
        <f t="shared" si="241"/>
        <v>-1</v>
      </c>
      <c r="N1480" s="139">
        <f t="shared" si="239"/>
        <v>0</v>
      </c>
      <c r="O1480" s="139">
        <f t="shared" si="240"/>
        <v>1</v>
      </c>
      <c r="Q1480" s="186"/>
      <c r="R1480" s="186" t="s">
        <v>873</v>
      </c>
      <c r="S1480" s="139"/>
      <c r="V1480" s="139"/>
    </row>
    <row r="1481" spans="4:22">
      <c r="D1481" s="139"/>
      <c r="E1481" s="141" t="s">
        <v>1829</v>
      </c>
      <c r="F1481" s="141" t="s">
        <v>1756</v>
      </c>
      <c r="G1481" s="154" t="str">
        <f t="shared" si="242"/>
        <v>/</v>
      </c>
      <c r="H1481" s="141" t="str">
        <f t="shared" si="243"/>
        <v>/</v>
      </c>
      <c r="I1481" s="139" t="e">
        <f t="shared" si="237"/>
        <v>#NUM!</v>
      </c>
      <c r="J1481" s="139" t="e">
        <f t="shared" si="238"/>
        <v>#NUM!</v>
      </c>
      <c r="K1481" s="155">
        <f t="shared" si="241"/>
        <v>-1</v>
      </c>
      <c r="N1481" s="139">
        <f t="shared" si="239"/>
        <v>0</v>
      </c>
      <c r="O1481" s="139">
        <f t="shared" si="240"/>
        <v>1</v>
      </c>
      <c r="Q1481" s="186"/>
      <c r="R1481" s="186" t="s">
        <v>873</v>
      </c>
      <c r="S1481" s="139"/>
      <c r="V1481" s="139"/>
    </row>
    <row r="1482" spans="4:22">
      <c r="D1482" s="139"/>
      <c r="E1482" s="141" t="s">
        <v>1829</v>
      </c>
      <c r="F1482" s="141" t="s">
        <v>1756</v>
      </c>
      <c r="G1482" s="154" t="str">
        <f t="shared" si="242"/>
        <v>/</v>
      </c>
      <c r="H1482" s="141" t="str">
        <f t="shared" si="243"/>
        <v>/</v>
      </c>
      <c r="I1482" s="139" t="e">
        <f t="shared" si="237"/>
        <v>#NUM!</v>
      </c>
      <c r="J1482" s="139" t="e">
        <f t="shared" si="238"/>
        <v>#NUM!</v>
      </c>
      <c r="K1482" s="155">
        <f t="shared" si="241"/>
        <v>-1</v>
      </c>
      <c r="N1482" s="139">
        <f t="shared" si="239"/>
        <v>0</v>
      </c>
      <c r="O1482" s="139">
        <f t="shared" si="240"/>
        <v>1</v>
      </c>
      <c r="Q1482" s="186"/>
      <c r="R1482" s="186" t="s">
        <v>873</v>
      </c>
      <c r="S1482" s="139"/>
      <c r="V1482" s="139"/>
    </row>
    <row r="1483" spans="4:22">
      <c r="D1483" s="139"/>
      <c r="E1483" s="141" t="s">
        <v>1829</v>
      </c>
      <c r="F1483" s="141" t="s">
        <v>1756</v>
      </c>
      <c r="G1483" s="154" t="str">
        <f t="shared" si="242"/>
        <v>/</v>
      </c>
      <c r="H1483" s="141" t="str">
        <f t="shared" si="243"/>
        <v>/</v>
      </c>
      <c r="I1483" s="139" t="e">
        <f t="shared" si="237"/>
        <v>#NUM!</v>
      </c>
      <c r="J1483" s="139" t="e">
        <f t="shared" si="238"/>
        <v>#NUM!</v>
      </c>
      <c r="K1483" s="155">
        <f t="shared" si="241"/>
        <v>-1</v>
      </c>
      <c r="N1483" s="139">
        <f t="shared" si="239"/>
        <v>0</v>
      </c>
      <c r="O1483" s="139">
        <f t="shared" si="240"/>
        <v>1</v>
      </c>
      <c r="Q1483" s="186"/>
      <c r="R1483" s="186" t="s">
        <v>873</v>
      </c>
      <c r="S1483" s="139"/>
      <c r="V1483" s="139"/>
    </row>
    <row r="1484" spans="4:22">
      <c r="D1484" s="139"/>
      <c r="E1484" s="141" t="s">
        <v>1829</v>
      </c>
      <c r="F1484" s="141" t="s">
        <v>1756</v>
      </c>
      <c r="G1484" s="154" t="str">
        <f t="shared" si="242"/>
        <v>/</v>
      </c>
      <c r="H1484" s="141" t="str">
        <f t="shared" si="243"/>
        <v>/</v>
      </c>
      <c r="I1484" s="139" t="e">
        <f t="shared" si="237"/>
        <v>#NUM!</v>
      </c>
      <c r="J1484" s="139" t="e">
        <f t="shared" si="238"/>
        <v>#NUM!</v>
      </c>
      <c r="K1484" s="155">
        <f t="shared" si="241"/>
        <v>-1</v>
      </c>
      <c r="N1484" s="139">
        <f t="shared" si="239"/>
        <v>0</v>
      </c>
      <c r="O1484" s="139">
        <f t="shared" si="240"/>
        <v>1</v>
      </c>
      <c r="Q1484" s="186"/>
      <c r="R1484" s="186" t="s">
        <v>873</v>
      </c>
      <c r="S1484" s="139"/>
      <c r="V1484" s="139"/>
    </row>
    <row r="1485" spans="4:22">
      <c r="D1485" s="139"/>
      <c r="E1485" s="141" t="s">
        <v>1829</v>
      </c>
      <c r="F1485" s="141" t="s">
        <v>1756</v>
      </c>
      <c r="G1485" s="154" t="str">
        <f t="shared" si="242"/>
        <v>/</v>
      </c>
      <c r="H1485" s="141" t="str">
        <f t="shared" si="243"/>
        <v>/</v>
      </c>
      <c r="I1485" s="139" t="e">
        <f t="shared" si="237"/>
        <v>#NUM!</v>
      </c>
      <c r="J1485" s="139" t="e">
        <f t="shared" si="238"/>
        <v>#NUM!</v>
      </c>
      <c r="K1485" s="155">
        <f t="shared" si="241"/>
        <v>-1</v>
      </c>
      <c r="N1485" s="139">
        <f t="shared" si="239"/>
        <v>0</v>
      </c>
      <c r="O1485" s="139">
        <f t="shared" si="240"/>
        <v>1</v>
      </c>
      <c r="Q1485" s="186"/>
      <c r="R1485" s="186" t="s">
        <v>873</v>
      </c>
      <c r="S1485" s="139"/>
      <c r="V1485" s="139"/>
    </row>
    <row r="1486" spans="4:22">
      <c r="D1486" s="139"/>
      <c r="E1486" s="141" t="s">
        <v>1829</v>
      </c>
      <c r="F1486" s="141" t="s">
        <v>1756</v>
      </c>
      <c r="G1486" s="154" t="str">
        <f t="shared" si="242"/>
        <v>/</v>
      </c>
      <c r="H1486" s="141" t="str">
        <f t="shared" si="243"/>
        <v>/</v>
      </c>
      <c r="I1486" s="139" t="e">
        <f t="shared" si="237"/>
        <v>#NUM!</v>
      </c>
      <c r="J1486" s="139" t="e">
        <f t="shared" si="238"/>
        <v>#NUM!</v>
      </c>
      <c r="K1486" s="155">
        <f t="shared" si="241"/>
        <v>-1</v>
      </c>
      <c r="N1486" s="139">
        <f t="shared" si="239"/>
        <v>0</v>
      </c>
      <c r="O1486" s="139">
        <f t="shared" si="240"/>
        <v>1</v>
      </c>
      <c r="Q1486" s="186"/>
      <c r="R1486" s="186" t="s">
        <v>873</v>
      </c>
      <c r="S1486" s="139"/>
      <c r="V1486" s="139"/>
    </row>
    <row r="1487" spans="4:22">
      <c r="D1487" s="139"/>
      <c r="E1487" s="141" t="s">
        <v>1829</v>
      </c>
      <c r="F1487" s="141" t="s">
        <v>1756</v>
      </c>
      <c r="G1487" s="154" t="str">
        <f t="shared" si="242"/>
        <v>/</v>
      </c>
      <c r="H1487" s="141" t="str">
        <f t="shared" si="243"/>
        <v>/</v>
      </c>
      <c r="I1487" s="139" t="e">
        <f t="shared" si="237"/>
        <v>#NUM!</v>
      </c>
      <c r="J1487" s="139" t="e">
        <f t="shared" si="238"/>
        <v>#NUM!</v>
      </c>
      <c r="K1487" s="155">
        <f t="shared" si="241"/>
        <v>-1</v>
      </c>
      <c r="N1487" s="139">
        <f t="shared" si="239"/>
        <v>0</v>
      </c>
      <c r="O1487" s="139">
        <f t="shared" si="240"/>
        <v>1</v>
      </c>
      <c r="Q1487" s="186"/>
      <c r="R1487" s="186" t="s">
        <v>873</v>
      </c>
      <c r="S1487" s="139"/>
      <c r="V1487" s="139"/>
    </row>
    <row r="1488" spans="4:22">
      <c r="D1488" s="139"/>
      <c r="E1488" s="141" t="s">
        <v>1829</v>
      </c>
      <c r="F1488" s="141" t="s">
        <v>1756</v>
      </c>
      <c r="G1488" s="154" t="str">
        <f t="shared" si="242"/>
        <v>/</v>
      </c>
      <c r="H1488" s="141" t="str">
        <f t="shared" si="243"/>
        <v>/</v>
      </c>
      <c r="I1488" s="139" t="e">
        <f t="shared" si="237"/>
        <v>#NUM!</v>
      </c>
      <c r="J1488" s="139" t="e">
        <f t="shared" si="238"/>
        <v>#NUM!</v>
      </c>
      <c r="K1488" s="155">
        <f t="shared" si="241"/>
        <v>-1</v>
      </c>
      <c r="N1488" s="139">
        <f t="shared" si="239"/>
        <v>0</v>
      </c>
      <c r="O1488" s="139">
        <f t="shared" si="240"/>
        <v>1</v>
      </c>
      <c r="Q1488" s="186"/>
      <c r="R1488" s="186" t="s">
        <v>873</v>
      </c>
      <c r="S1488" s="139"/>
      <c r="V1488" s="139"/>
    </row>
    <row r="1489" spans="4:22">
      <c r="D1489" s="139"/>
      <c r="E1489" s="141" t="s">
        <v>1829</v>
      </c>
      <c r="F1489" s="141" t="s">
        <v>1756</v>
      </c>
      <c r="G1489" s="154" t="str">
        <f t="shared" si="242"/>
        <v>/</v>
      </c>
      <c r="H1489" s="141" t="str">
        <f t="shared" si="243"/>
        <v>/</v>
      </c>
      <c r="I1489" s="139" t="e">
        <f t="shared" si="237"/>
        <v>#NUM!</v>
      </c>
      <c r="J1489" s="139" t="e">
        <f t="shared" si="238"/>
        <v>#NUM!</v>
      </c>
      <c r="K1489" s="155">
        <f t="shared" si="241"/>
        <v>-1</v>
      </c>
      <c r="N1489" s="139">
        <f t="shared" si="239"/>
        <v>0</v>
      </c>
      <c r="O1489" s="139">
        <f t="shared" si="240"/>
        <v>1</v>
      </c>
      <c r="Q1489" s="186"/>
      <c r="R1489" s="186" t="s">
        <v>873</v>
      </c>
      <c r="S1489" s="139"/>
      <c r="V1489" s="139"/>
    </row>
    <row r="1490" spans="4:22">
      <c r="D1490" s="139"/>
      <c r="E1490" s="141" t="s">
        <v>1829</v>
      </c>
      <c r="F1490" s="141" t="s">
        <v>1756</v>
      </c>
      <c r="G1490" s="154" t="str">
        <f t="shared" si="242"/>
        <v>/</v>
      </c>
      <c r="H1490" s="141" t="str">
        <f t="shared" si="243"/>
        <v>/</v>
      </c>
      <c r="I1490" s="139" t="e">
        <f t="shared" si="237"/>
        <v>#NUM!</v>
      </c>
      <c r="J1490" s="139" t="e">
        <f t="shared" si="238"/>
        <v>#NUM!</v>
      </c>
      <c r="K1490" s="155">
        <f t="shared" si="241"/>
        <v>-1</v>
      </c>
      <c r="N1490" s="139">
        <f t="shared" si="239"/>
        <v>0</v>
      </c>
      <c r="O1490" s="139">
        <f t="shared" si="240"/>
        <v>1</v>
      </c>
      <c r="Q1490" s="186"/>
      <c r="R1490" s="186" t="s">
        <v>873</v>
      </c>
      <c r="S1490" s="139"/>
      <c r="V1490" s="139"/>
    </row>
    <row r="1491" spans="4:22">
      <c r="D1491" s="139"/>
      <c r="E1491" s="141" t="s">
        <v>1829</v>
      </c>
      <c r="F1491" s="141" t="s">
        <v>1756</v>
      </c>
      <c r="G1491" s="154" t="str">
        <f t="shared" si="242"/>
        <v>/</v>
      </c>
      <c r="H1491" s="141" t="str">
        <f t="shared" si="243"/>
        <v>/</v>
      </c>
      <c r="I1491" s="139" t="e">
        <f t="shared" si="237"/>
        <v>#NUM!</v>
      </c>
      <c r="J1491" s="139" t="e">
        <f t="shared" si="238"/>
        <v>#NUM!</v>
      </c>
      <c r="K1491" s="155">
        <f t="shared" si="241"/>
        <v>-1</v>
      </c>
      <c r="N1491" s="139">
        <f t="shared" si="239"/>
        <v>0</v>
      </c>
      <c r="O1491" s="139">
        <f t="shared" si="240"/>
        <v>1</v>
      </c>
      <c r="Q1491" s="186"/>
      <c r="R1491" s="186" t="s">
        <v>873</v>
      </c>
      <c r="S1491" s="139"/>
      <c r="V1491" s="139"/>
    </row>
    <row r="1492" spans="4:22">
      <c r="D1492" s="139"/>
      <c r="E1492" s="141" t="s">
        <v>1829</v>
      </c>
      <c r="F1492" s="141" t="s">
        <v>1756</v>
      </c>
      <c r="G1492" s="154" t="str">
        <f t="shared" si="242"/>
        <v>/</v>
      </c>
      <c r="H1492" s="141" t="str">
        <f t="shared" si="243"/>
        <v>/</v>
      </c>
      <c r="I1492" s="139" t="e">
        <f t="shared" si="237"/>
        <v>#NUM!</v>
      </c>
      <c r="J1492" s="139" t="e">
        <f t="shared" si="238"/>
        <v>#NUM!</v>
      </c>
      <c r="K1492" s="155">
        <f t="shared" si="241"/>
        <v>-1</v>
      </c>
      <c r="N1492" s="139">
        <f t="shared" si="239"/>
        <v>0</v>
      </c>
      <c r="O1492" s="139">
        <f t="shared" si="240"/>
        <v>1</v>
      </c>
      <c r="Q1492" s="186"/>
      <c r="R1492" s="186" t="s">
        <v>873</v>
      </c>
      <c r="S1492" s="139"/>
      <c r="V1492" s="139"/>
    </row>
    <row r="1493" spans="4:22">
      <c r="D1493" s="139"/>
      <c r="E1493" s="141" t="s">
        <v>1829</v>
      </c>
      <c r="F1493" s="141" t="s">
        <v>1756</v>
      </c>
      <c r="G1493" s="154" t="str">
        <f t="shared" si="242"/>
        <v>/</v>
      </c>
      <c r="H1493" s="141" t="str">
        <f t="shared" si="243"/>
        <v>/</v>
      </c>
      <c r="I1493" s="139" t="e">
        <f t="shared" si="237"/>
        <v>#NUM!</v>
      </c>
      <c r="J1493" s="139" t="e">
        <f t="shared" si="238"/>
        <v>#NUM!</v>
      </c>
      <c r="K1493" s="155">
        <f t="shared" si="241"/>
        <v>-1</v>
      </c>
      <c r="N1493" s="139">
        <f t="shared" si="239"/>
        <v>0</v>
      </c>
      <c r="O1493" s="139">
        <f t="shared" si="240"/>
        <v>1</v>
      </c>
      <c r="Q1493" s="186"/>
      <c r="R1493" s="186" t="s">
        <v>873</v>
      </c>
      <c r="S1493" s="139"/>
      <c r="V1493" s="139"/>
    </row>
    <row r="1494" spans="4:22">
      <c r="D1494" s="139"/>
      <c r="E1494" s="141" t="s">
        <v>1829</v>
      </c>
      <c r="F1494" s="141" t="s">
        <v>1756</v>
      </c>
      <c r="G1494" s="154" t="str">
        <f t="shared" si="242"/>
        <v>/</v>
      </c>
      <c r="H1494" s="141" t="str">
        <f t="shared" si="243"/>
        <v>/</v>
      </c>
      <c r="I1494" s="139" t="e">
        <f t="shared" si="237"/>
        <v>#NUM!</v>
      </c>
      <c r="J1494" s="139" t="e">
        <f t="shared" si="238"/>
        <v>#NUM!</v>
      </c>
      <c r="K1494" s="155">
        <f t="shared" si="241"/>
        <v>-1</v>
      </c>
      <c r="N1494" s="139">
        <f t="shared" si="239"/>
        <v>0</v>
      </c>
      <c r="O1494" s="139">
        <f t="shared" si="240"/>
        <v>1</v>
      </c>
      <c r="Q1494" s="186"/>
      <c r="R1494" s="186" t="s">
        <v>873</v>
      </c>
      <c r="S1494" s="139"/>
      <c r="V1494" s="139"/>
    </row>
    <row r="1495" spans="4:22">
      <c r="D1495" s="139"/>
      <c r="E1495" s="141" t="s">
        <v>1829</v>
      </c>
      <c r="F1495" s="141" t="s">
        <v>1756</v>
      </c>
      <c r="G1495" s="154" t="str">
        <f t="shared" si="242"/>
        <v>/</v>
      </c>
      <c r="H1495" s="141" t="str">
        <f t="shared" si="243"/>
        <v>/</v>
      </c>
      <c r="I1495" s="139" t="e">
        <f t="shared" si="237"/>
        <v>#NUM!</v>
      </c>
      <c r="J1495" s="139" t="e">
        <f t="shared" si="238"/>
        <v>#NUM!</v>
      </c>
      <c r="K1495" s="155">
        <f t="shared" si="241"/>
        <v>-1</v>
      </c>
      <c r="N1495" s="139">
        <f t="shared" si="239"/>
        <v>0</v>
      </c>
      <c r="O1495" s="139">
        <f t="shared" si="240"/>
        <v>1</v>
      </c>
      <c r="Q1495" s="186"/>
      <c r="R1495" s="186" t="s">
        <v>873</v>
      </c>
      <c r="S1495" s="139"/>
      <c r="V1495" s="139"/>
    </row>
    <row r="1496" spans="4:22">
      <c r="D1496" s="139"/>
      <c r="E1496" s="141" t="s">
        <v>1829</v>
      </c>
      <c r="F1496" s="141" t="s">
        <v>1756</v>
      </c>
      <c r="G1496" s="154" t="str">
        <f t="shared" si="242"/>
        <v>/</v>
      </c>
      <c r="H1496" s="141" t="str">
        <f t="shared" si="243"/>
        <v>/</v>
      </c>
      <c r="I1496" s="139" t="e">
        <f t="shared" si="237"/>
        <v>#NUM!</v>
      </c>
      <c r="J1496" s="139" t="e">
        <f t="shared" si="238"/>
        <v>#NUM!</v>
      </c>
      <c r="K1496" s="155">
        <f t="shared" si="241"/>
        <v>-1</v>
      </c>
      <c r="N1496" s="139">
        <f t="shared" si="239"/>
        <v>0</v>
      </c>
      <c r="O1496" s="139">
        <f t="shared" si="240"/>
        <v>1</v>
      </c>
      <c r="Q1496" s="186"/>
      <c r="R1496" s="186" t="s">
        <v>873</v>
      </c>
      <c r="S1496" s="139"/>
      <c r="V1496" s="139"/>
    </row>
    <row r="1497" spans="4:22">
      <c r="D1497" s="139"/>
      <c r="E1497" s="141" t="s">
        <v>1829</v>
      </c>
      <c r="F1497" s="141" t="s">
        <v>1756</v>
      </c>
      <c r="G1497" s="154" t="str">
        <f t="shared" si="242"/>
        <v>/</v>
      </c>
      <c r="H1497" s="141" t="str">
        <f t="shared" si="243"/>
        <v>/</v>
      </c>
      <c r="I1497" s="139" t="e">
        <f t="shared" si="237"/>
        <v>#NUM!</v>
      </c>
      <c r="J1497" s="139" t="e">
        <f t="shared" si="238"/>
        <v>#NUM!</v>
      </c>
      <c r="K1497" s="155">
        <f t="shared" si="241"/>
        <v>-1</v>
      </c>
      <c r="N1497" s="139">
        <f t="shared" si="239"/>
        <v>0</v>
      </c>
      <c r="O1497" s="139">
        <f t="shared" si="240"/>
        <v>1</v>
      </c>
      <c r="Q1497" s="186"/>
      <c r="R1497" s="186" t="s">
        <v>873</v>
      </c>
      <c r="S1497" s="139"/>
      <c r="V1497" s="139"/>
    </row>
    <row r="1498" spans="4:22">
      <c r="D1498" s="139"/>
      <c r="E1498" s="141" t="s">
        <v>1829</v>
      </c>
      <c r="F1498" s="141" t="s">
        <v>1756</v>
      </c>
      <c r="G1498" s="154" t="str">
        <f t="shared" si="242"/>
        <v>/</v>
      </c>
      <c r="H1498" s="141" t="str">
        <f t="shared" si="243"/>
        <v>/</v>
      </c>
      <c r="I1498" s="139" t="e">
        <f t="shared" si="237"/>
        <v>#NUM!</v>
      </c>
      <c r="J1498" s="139" t="e">
        <f t="shared" si="238"/>
        <v>#NUM!</v>
      </c>
      <c r="K1498" s="155">
        <f t="shared" si="241"/>
        <v>-1</v>
      </c>
      <c r="N1498" s="139">
        <f t="shared" si="239"/>
        <v>0</v>
      </c>
      <c r="O1498" s="139">
        <f t="shared" si="240"/>
        <v>1</v>
      </c>
      <c r="Q1498" s="186"/>
      <c r="R1498" s="186" t="s">
        <v>873</v>
      </c>
      <c r="S1498" s="139"/>
      <c r="V1498" s="139"/>
    </row>
    <row r="1499" spans="4:22">
      <c r="D1499" s="139"/>
      <c r="E1499" s="141" t="s">
        <v>1829</v>
      </c>
      <c r="F1499" s="141" t="s">
        <v>1756</v>
      </c>
      <c r="G1499" s="154" t="str">
        <f t="shared" si="242"/>
        <v>/</v>
      </c>
      <c r="H1499" s="141" t="str">
        <f t="shared" si="243"/>
        <v>/</v>
      </c>
      <c r="I1499" s="139" t="e">
        <f t="shared" si="237"/>
        <v>#NUM!</v>
      </c>
      <c r="J1499" s="139" t="e">
        <f t="shared" si="238"/>
        <v>#NUM!</v>
      </c>
      <c r="K1499" s="155">
        <f t="shared" si="241"/>
        <v>-1</v>
      </c>
      <c r="N1499" s="139">
        <f t="shared" si="239"/>
        <v>0</v>
      </c>
      <c r="O1499" s="139">
        <f t="shared" si="240"/>
        <v>1</v>
      </c>
      <c r="Q1499" s="186"/>
      <c r="R1499" s="186" t="s">
        <v>873</v>
      </c>
      <c r="S1499" s="139"/>
      <c r="V1499" s="139"/>
    </row>
    <row r="1500" spans="4:22">
      <c r="D1500" s="139"/>
      <c r="E1500" s="141" t="s">
        <v>1829</v>
      </c>
      <c r="F1500" s="141" t="s">
        <v>1756</v>
      </c>
      <c r="G1500" s="154" t="str">
        <f t="shared" si="242"/>
        <v>/</v>
      </c>
      <c r="H1500" s="141" t="str">
        <f t="shared" si="243"/>
        <v>/</v>
      </c>
      <c r="I1500" s="139" t="e">
        <f t="shared" si="237"/>
        <v>#NUM!</v>
      </c>
      <c r="J1500" s="139" t="e">
        <f t="shared" si="238"/>
        <v>#NUM!</v>
      </c>
      <c r="K1500" s="155">
        <f t="shared" si="241"/>
        <v>-1</v>
      </c>
      <c r="N1500" s="139">
        <f t="shared" si="239"/>
        <v>0</v>
      </c>
      <c r="O1500" s="139">
        <f t="shared" si="240"/>
        <v>1</v>
      </c>
      <c r="Q1500" s="186"/>
      <c r="R1500" s="186" t="s">
        <v>873</v>
      </c>
      <c r="S1500" s="139"/>
      <c r="V1500" s="139"/>
    </row>
    <row r="1501" spans="4:22">
      <c r="D1501" s="139"/>
      <c r="E1501" s="141" t="s">
        <v>1829</v>
      </c>
      <c r="F1501" s="141" t="s">
        <v>1756</v>
      </c>
      <c r="G1501" s="154" t="str">
        <f t="shared" si="242"/>
        <v>/</v>
      </c>
      <c r="H1501" s="141" t="str">
        <f t="shared" si="243"/>
        <v>/</v>
      </c>
      <c r="I1501" s="139" t="e">
        <f t="shared" si="237"/>
        <v>#NUM!</v>
      </c>
      <c r="J1501" s="139" t="e">
        <f t="shared" si="238"/>
        <v>#NUM!</v>
      </c>
      <c r="K1501" s="155">
        <f t="shared" si="241"/>
        <v>-1</v>
      </c>
      <c r="N1501" s="139">
        <f t="shared" si="239"/>
        <v>0</v>
      </c>
      <c r="O1501" s="139">
        <f t="shared" si="240"/>
        <v>1</v>
      </c>
      <c r="Q1501" s="186"/>
      <c r="R1501" s="186" t="s">
        <v>873</v>
      </c>
      <c r="S1501" s="139"/>
      <c r="V1501" s="139"/>
    </row>
    <row r="1502" spans="4:22">
      <c r="D1502" s="139"/>
      <c r="E1502" s="141" t="s">
        <v>1829</v>
      </c>
      <c r="F1502" s="141" t="s">
        <v>1756</v>
      </c>
      <c r="G1502" s="154" t="str">
        <f t="shared" si="242"/>
        <v>/</v>
      </c>
      <c r="H1502" s="141" t="str">
        <f t="shared" si="243"/>
        <v>/</v>
      </c>
      <c r="I1502" s="139" t="e">
        <f t="shared" si="237"/>
        <v>#NUM!</v>
      </c>
      <c r="J1502" s="139" t="e">
        <f t="shared" si="238"/>
        <v>#NUM!</v>
      </c>
      <c r="K1502" s="155">
        <f t="shared" si="241"/>
        <v>-1</v>
      </c>
      <c r="N1502" s="139">
        <f t="shared" si="239"/>
        <v>0</v>
      </c>
      <c r="O1502" s="139">
        <f t="shared" si="240"/>
        <v>1</v>
      </c>
      <c r="Q1502" s="186"/>
      <c r="R1502" s="186" t="s">
        <v>873</v>
      </c>
      <c r="S1502" s="139"/>
      <c r="V1502" s="139"/>
    </row>
    <row r="1503" spans="4:22">
      <c r="D1503" s="139"/>
      <c r="E1503" s="141" t="s">
        <v>1829</v>
      </c>
      <c r="F1503" s="141" t="s">
        <v>1756</v>
      </c>
      <c r="G1503" s="154" t="str">
        <f t="shared" si="242"/>
        <v>/</v>
      </c>
      <c r="H1503" s="141" t="str">
        <f t="shared" si="243"/>
        <v>/</v>
      </c>
      <c r="I1503" s="139" t="e">
        <f t="shared" si="237"/>
        <v>#NUM!</v>
      </c>
      <c r="J1503" s="139" t="e">
        <f t="shared" si="238"/>
        <v>#NUM!</v>
      </c>
      <c r="K1503" s="155">
        <f t="shared" si="241"/>
        <v>-1</v>
      </c>
      <c r="N1503" s="139">
        <f t="shared" si="239"/>
        <v>0</v>
      </c>
      <c r="O1503" s="139">
        <f t="shared" si="240"/>
        <v>1</v>
      </c>
      <c r="Q1503" s="186"/>
      <c r="R1503" s="186" t="s">
        <v>873</v>
      </c>
      <c r="S1503" s="139"/>
      <c r="V1503" s="139"/>
    </row>
    <row r="1504" spans="4:22">
      <c r="D1504" s="139"/>
      <c r="E1504" s="141" t="s">
        <v>1829</v>
      </c>
      <c r="F1504" s="141" t="s">
        <v>1756</v>
      </c>
      <c r="G1504" s="154" t="str">
        <f t="shared" si="242"/>
        <v>/</v>
      </c>
      <c r="H1504" s="141" t="str">
        <f t="shared" si="243"/>
        <v>/</v>
      </c>
      <c r="I1504" s="139" t="e">
        <f t="shared" si="237"/>
        <v>#NUM!</v>
      </c>
      <c r="J1504" s="139" t="e">
        <f t="shared" si="238"/>
        <v>#NUM!</v>
      </c>
      <c r="K1504" s="155">
        <f t="shared" si="241"/>
        <v>-1</v>
      </c>
      <c r="N1504" s="139">
        <f t="shared" si="239"/>
        <v>0</v>
      </c>
      <c r="O1504" s="139">
        <f t="shared" si="240"/>
        <v>1</v>
      </c>
      <c r="Q1504" s="186"/>
      <c r="R1504" s="186" t="s">
        <v>873</v>
      </c>
      <c r="S1504" s="139"/>
      <c r="V1504" s="139"/>
    </row>
    <row r="1505" spans="4:22">
      <c r="D1505" s="139"/>
      <c r="E1505" s="141" t="s">
        <v>1829</v>
      </c>
      <c r="F1505" s="141" t="s">
        <v>1756</v>
      </c>
      <c r="G1505" s="154" t="str">
        <f t="shared" si="242"/>
        <v>/</v>
      </c>
      <c r="H1505" s="141" t="str">
        <f t="shared" si="243"/>
        <v>/</v>
      </c>
      <c r="I1505" s="139" t="e">
        <f t="shared" si="237"/>
        <v>#NUM!</v>
      </c>
      <c r="J1505" s="139" t="e">
        <f t="shared" si="238"/>
        <v>#NUM!</v>
      </c>
      <c r="K1505" s="155">
        <f t="shared" si="241"/>
        <v>-1</v>
      </c>
      <c r="N1505" s="139">
        <f t="shared" si="239"/>
        <v>0</v>
      </c>
      <c r="O1505" s="139">
        <f t="shared" si="240"/>
        <v>1</v>
      </c>
      <c r="Q1505" s="186"/>
      <c r="R1505" s="186" t="s">
        <v>873</v>
      </c>
      <c r="S1505" s="139"/>
      <c r="V1505" s="139"/>
    </row>
    <row r="1506" spans="4:22">
      <c r="D1506" s="139"/>
      <c r="E1506" s="141" t="s">
        <v>1829</v>
      </c>
      <c r="F1506" s="141" t="s">
        <v>1756</v>
      </c>
      <c r="G1506" s="154" t="str">
        <f t="shared" si="242"/>
        <v>/</v>
      </c>
      <c r="H1506" s="141" t="str">
        <f t="shared" si="243"/>
        <v>/</v>
      </c>
      <c r="I1506" s="139" t="e">
        <f t="shared" si="237"/>
        <v>#NUM!</v>
      </c>
      <c r="J1506" s="139" t="e">
        <f t="shared" si="238"/>
        <v>#NUM!</v>
      </c>
      <c r="K1506" s="155">
        <f t="shared" si="241"/>
        <v>-1</v>
      </c>
      <c r="N1506" s="139">
        <f t="shared" si="239"/>
        <v>0</v>
      </c>
      <c r="O1506" s="139">
        <f t="shared" si="240"/>
        <v>1</v>
      </c>
      <c r="Q1506" s="186"/>
      <c r="R1506" s="186" t="s">
        <v>873</v>
      </c>
      <c r="S1506" s="139"/>
      <c r="V1506" s="139"/>
    </row>
    <row r="1507" spans="4:22">
      <c r="D1507" s="139"/>
      <c r="E1507" s="141" t="s">
        <v>1829</v>
      </c>
      <c r="F1507" s="141" t="s">
        <v>1756</v>
      </c>
      <c r="G1507" s="154" t="str">
        <f t="shared" si="242"/>
        <v>/</v>
      </c>
      <c r="H1507" s="141" t="str">
        <f t="shared" si="243"/>
        <v>/</v>
      </c>
      <c r="I1507" s="139" t="e">
        <f t="shared" si="237"/>
        <v>#NUM!</v>
      </c>
      <c r="J1507" s="139" t="e">
        <f t="shared" si="238"/>
        <v>#NUM!</v>
      </c>
      <c r="K1507" s="155">
        <f t="shared" si="241"/>
        <v>-1</v>
      </c>
      <c r="N1507" s="139">
        <f t="shared" si="239"/>
        <v>0</v>
      </c>
      <c r="O1507" s="139">
        <f t="shared" si="240"/>
        <v>1</v>
      </c>
      <c r="Q1507" s="186"/>
      <c r="R1507" s="186" t="s">
        <v>873</v>
      </c>
      <c r="S1507" s="139"/>
      <c r="V1507" s="139"/>
    </row>
    <row r="1508" spans="4:22">
      <c r="D1508" s="139"/>
      <c r="E1508" s="141" t="s">
        <v>1829</v>
      </c>
      <c r="F1508" s="141" t="s">
        <v>1756</v>
      </c>
      <c r="G1508" s="154" t="str">
        <f t="shared" si="242"/>
        <v>/</v>
      </c>
      <c r="H1508" s="141" t="str">
        <f t="shared" si="243"/>
        <v>/</v>
      </c>
      <c r="I1508" s="139" t="e">
        <f t="shared" si="237"/>
        <v>#NUM!</v>
      </c>
      <c r="J1508" s="139" t="e">
        <f t="shared" si="238"/>
        <v>#NUM!</v>
      </c>
      <c r="K1508" s="155">
        <f t="shared" si="241"/>
        <v>-1</v>
      </c>
      <c r="N1508" s="139">
        <f t="shared" si="239"/>
        <v>0</v>
      </c>
      <c r="O1508" s="139">
        <f t="shared" si="240"/>
        <v>1</v>
      </c>
      <c r="Q1508" s="186"/>
      <c r="R1508" s="186" t="s">
        <v>873</v>
      </c>
      <c r="S1508" s="139"/>
      <c r="V1508" s="139"/>
    </row>
    <row r="1509" spans="4:22">
      <c r="D1509" s="139"/>
      <c r="E1509" s="141" t="s">
        <v>1829</v>
      </c>
      <c r="F1509" s="141" t="s">
        <v>1756</v>
      </c>
      <c r="G1509" s="154" t="str">
        <f t="shared" si="242"/>
        <v>/</v>
      </c>
      <c r="H1509" s="141" t="str">
        <f t="shared" si="243"/>
        <v>/</v>
      </c>
      <c r="I1509" s="139" t="e">
        <f t="shared" si="237"/>
        <v>#NUM!</v>
      </c>
      <c r="J1509" s="139" t="e">
        <f t="shared" si="238"/>
        <v>#NUM!</v>
      </c>
      <c r="K1509" s="155">
        <f t="shared" si="241"/>
        <v>-1</v>
      </c>
      <c r="N1509" s="139">
        <f t="shared" si="239"/>
        <v>0</v>
      </c>
      <c r="O1509" s="139">
        <f t="shared" si="240"/>
        <v>1</v>
      </c>
      <c r="Q1509" s="186"/>
      <c r="R1509" s="186" t="s">
        <v>873</v>
      </c>
      <c r="S1509" s="139"/>
      <c r="V1509" s="139"/>
    </row>
    <row r="1510" spans="4:22">
      <c r="D1510" s="139"/>
      <c r="E1510" s="141" t="s">
        <v>1829</v>
      </c>
      <c r="F1510" s="141" t="s">
        <v>1756</v>
      </c>
      <c r="G1510" s="154" t="str">
        <f t="shared" si="242"/>
        <v>/</v>
      </c>
      <c r="H1510" s="141" t="str">
        <f t="shared" si="243"/>
        <v>/</v>
      </c>
      <c r="I1510" s="139" t="e">
        <f t="shared" si="237"/>
        <v>#NUM!</v>
      </c>
      <c r="J1510" s="139" t="e">
        <f t="shared" si="238"/>
        <v>#NUM!</v>
      </c>
      <c r="K1510" s="155">
        <f t="shared" si="241"/>
        <v>-1</v>
      </c>
      <c r="N1510" s="139">
        <f t="shared" si="239"/>
        <v>0</v>
      </c>
      <c r="O1510" s="139">
        <f t="shared" si="240"/>
        <v>1</v>
      </c>
      <c r="Q1510" s="186"/>
      <c r="R1510" s="186" t="s">
        <v>873</v>
      </c>
      <c r="S1510" s="139"/>
      <c r="V1510" s="139"/>
    </row>
    <row r="1511" spans="4:22">
      <c r="D1511" s="139"/>
      <c r="E1511" s="141" t="s">
        <v>1829</v>
      </c>
      <c r="F1511" s="141" t="s">
        <v>1756</v>
      </c>
      <c r="G1511" s="154" t="str">
        <f t="shared" si="242"/>
        <v>/</v>
      </c>
      <c r="H1511" s="141" t="str">
        <f t="shared" si="243"/>
        <v>/</v>
      </c>
      <c r="I1511" s="139" t="e">
        <f t="shared" si="237"/>
        <v>#NUM!</v>
      </c>
      <c r="J1511" s="139" t="e">
        <f t="shared" si="238"/>
        <v>#NUM!</v>
      </c>
      <c r="K1511" s="155">
        <f t="shared" si="241"/>
        <v>-1</v>
      </c>
      <c r="N1511" s="139">
        <f t="shared" si="239"/>
        <v>0</v>
      </c>
      <c r="O1511" s="139">
        <f t="shared" si="240"/>
        <v>1</v>
      </c>
      <c r="Q1511" s="186"/>
      <c r="R1511" s="186" t="s">
        <v>873</v>
      </c>
      <c r="S1511" s="139"/>
      <c r="V1511" s="139"/>
    </row>
    <row r="1512" spans="4:22">
      <c r="D1512" s="139"/>
      <c r="E1512" s="141" t="s">
        <v>1829</v>
      </c>
      <c r="F1512" s="141" t="s">
        <v>1756</v>
      </c>
      <c r="G1512" s="154" t="str">
        <f t="shared" si="242"/>
        <v>/</v>
      </c>
      <c r="H1512" s="141" t="str">
        <f t="shared" si="243"/>
        <v>/</v>
      </c>
      <c r="I1512" s="139" t="e">
        <f t="shared" si="237"/>
        <v>#NUM!</v>
      </c>
      <c r="J1512" s="139" t="e">
        <f t="shared" si="238"/>
        <v>#NUM!</v>
      </c>
      <c r="K1512" s="155">
        <f t="shared" si="241"/>
        <v>-1</v>
      </c>
      <c r="N1512" s="139">
        <f t="shared" si="239"/>
        <v>0</v>
      </c>
      <c r="O1512" s="139">
        <f t="shared" si="240"/>
        <v>1</v>
      </c>
      <c r="Q1512" s="186"/>
      <c r="R1512" s="186" t="s">
        <v>873</v>
      </c>
      <c r="S1512" s="139"/>
      <c r="V1512" s="139"/>
    </row>
    <row r="1513" spans="4:22">
      <c r="D1513" s="139"/>
      <c r="E1513" s="141" t="s">
        <v>1829</v>
      </c>
      <c r="F1513" s="141" t="s">
        <v>1756</v>
      </c>
      <c r="G1513" s="154" t="str">
        <f t="shared" si="242"/>
        <v>/</v>
      </c>
      <c r="H1513" s="141" t="str">
        <f t="shared" si="243"/>
        <v>/</v>
      </c>
      <c r="I1513" s="139" t="e">
        <f t="shared" si="237"/>
        <v>#NUM!</v>
      </c>
      <c r="J1513" s="139" t="e">
        <f t="shared" si="238"/>
        <v>#NUM!</v>
      </c>
      <c r="K1513" s="155">
        <f t="shared" si="241"/>
        <v>-1</v>
      </c>
      <c r="N1513" s="139">
        <f t="shared" si="239"/>
        <v>0</v>
      </c>
      <c r="O1513" s="139">
        <f t="shared" si="240"/>
        <v>1</v>
      </c>
      <c r="Q1513" s="186"/>
      <c r="R1513" s="186" t="s">
        <v>873</v>
      </c>
      <c r="S1513" s="139"/>
      <c r="V1513" s="139"/>
    </row>
    <row r="1514" spans="4:22">
      <c r="D1514" s="139"/>
      <c r="E1514" s="141" t="s">
        <v>1829</v>
      </c>
      <c r="F1514" s="141" t="s">
        <v>1756</v>
      </c>
      <c r="G1514" s="154" t="str">
        <f t="shared" si="242"/>
        <v>/</v>
      </c>
      <c r="H1514" s="141" t="str">
        <f t="shared" si="243"/>
        <v>/</v>
      </c>
      <c r="I1514" s="139" t="e">
        <f t="shared" si="237"/>
        <v>#NUM!</v>
      </c>
      <c r="J1514" s="139" t="e">
        <f t="shared" si="238"/>
        <v>#NUM!</v>
      </c>
      <c r="K1514" s="155">
        <f t="shared" si="241"/>
        <v>-1</v>
      </c>
      <c r="N1514" s="139">
        <f t="shared" si="239"/>
        <v>0</v>
      </c>
      <c r="O1514" s="139">
        <f t="shared" si="240"/>
        <v>1</v>
      </c>
      <c r="Q1514" s="186"/>
      <c r="R1514" s="186" t="s">
        <v>873</v>
      </c>
      <c r="S1514" s="139"/>
      <c r="V1514" s="139"/>
    </row>
    <row r="1515" spans="4:22">
      <c r="D1515" s="139"/>
      <c r="E1515" s="141" t="s">
        <v>1829</v>
      </c>
      <c r="F1515" s="141" t="s">
        <v>1756</v>
      </c>
      <c r="G1515" s="154" t="str">
        <f t="shared" si="242"/>
        <v>/</v>
      </c>
      <c r="H1515" s="141" t="str">
        <f t="shared" si="243"/>
        <v>/</v>
      </c>
      <c r="I1515" s="139" t="e">
        <f t="shared" si="237"/>
        <v>#NUM!</v>
      </c>
      <c r="J1515" s="139" t="e">
        <f t="shared" si="238"/>
        <v>#NUM!</v>
      </c>
      <c r="K1515" s="155">
        <f t="shared" si="241"/>
        <v>-1</v>
      </c>
      <c r="N1515" s="139">
        <f t="shared" si="239"/>
        <v>0</v>
      </c>
      <c r="O1515" s="139">
        <f t="shared" si="240"/>
        <v>1</v>
      </c>
      <c r="Q1515" s="186"/>
      <c r="R1515" s="186" t="s">
        <v>873</v>
      </c>
      <c r="S1515" s="139"/>
      <c r="V1515" s="139"/>
    </row>
    <row r="1516" spans="4:22">
      <c r="D1516" s="139"/>
      <c r="E1516" s="141" t="s">
        <v>1829</v>
      </c>
      <c r="F1516" s="141" t="s">
        <v>1756</v>
      </c>
      <c r="G1516" s="154" t="str">
        <f t="shared" si="242"/>
        <v>/</v>
      </c>
      <c r="H1516" s="141" t="str">
        <f t="shared" si="243"/>
        <v>/</v>
      </c>
      <c r="I1516" s="139" t="e">
        <f t="shared" si="237"/>
        <v>#NUM!</v>
      </c>
      <c r="J1516" s="139" t="e">
        <f t="shared" si="238"/>
        <v>#NUM!</v>
      </c>
      <c r="K1516" s="155">
        <f t="shared" si="241"/>
        <v>-1</v>
      </c>
      <c r="N1516" s="139">
        <f t="shared" si="239"/>
        <v>0</v>
      </c>
      <c r="O1516" s="139">
        <f t="shared" si="240"/>
        <v>1</v>
      </c>
      <c r="Q1516" s="186"/>
      <c r="R1516" s="186" t="s">
        <v>873</v>
      </c>
      <c r="S1516" s="139"/>
      <c r="V1516" s="139"/>
    </row>
    <row r="1517" spans="4:22">
      <c r="D1517" s="139"/>
      <c r="E1517" s="141" t="s">
        <v>1829</v>
      </c>
      <c r="F1517" s="141" t="s">
        <v>1756</v>
      </c>
      <c r="G1517" s="154" t="str">
        <f t="shared" si="242"/>
        <v>/</v>
      </c>
      <c r="H1517" s="141" t="str">
        <f t="shared" si="243"/>
        <v>/</v>
      </c>
      <c r="I1517" s="139" t="e">
        <f t="shared" si="237"/>
        <v>#NUM!</v>
      </c>
      <c r="J1517" s="139" t="e">
        <f t="shared" si="238"/>
        <v>#NUM!</v>
      </c>
      <c r="K1517" s="155">
        <f t="shared" si="241"/>
        <v>-1</v>
      </c>
      <c r="N1517" s="139">
        <f t="shared" si="239"/>
        <v>0</v>
      </c>
      <c r="O1517" s="139">
        <f t="shared" si="240"/>
        <v>1</v>
      </c>
      <c r="Q1517" s="186"/>
      <c r="R1517" s="186" t="s">
        <v>873</v>
      </c>
      <c r="S1517" s="139"/>
      <c r="V1517" s="139"/>
    </row>
    <row r="1518" spans="4:22">
      <c r="D1518" s="139"/>
      <c r="E1518" s="141" t="s">
        <v>1829</v>
      </c>
      <c r="F1518" s="141" t="s">
        <v>1756</v>
      </c>
      <c r="G1518" s="154" t="str">
        <f t="shared" si="242"/>
        <v>/</v>
      </c>
      <c r="H1518" s="141" t="str">
        <f t="shared" si="243"/>
        <v>/</v>
      </c>
      <c r="I1518" s="139" t="e">
        <f t="shared" si="237"/>
        <v>#NUM!</v>
      </c>
      <c r="J1518" s="139" t="e">
        <f t="shared" si="238"/>
        <v>#NUM!</v>
      </c>
      <c r="K1518" s="155">
        <f t="shared" si="241"/>
        <v>-1</v>
      </c>
      <c r="N1518" s="139">
        <f t="shared" si="239"/>
        <v>0</v>
      </c>
      <c r="O1518" s="139">
        <f t="shared" si="240"/>
        <v>1</v>
      </c>
      <c r="Q1518" s="186"/>
      <c r="R1518" s="186" t="s">
        <v>873</v>
      </c>
      <c r="S1518" s="139"/>
      <c r="V1518" s="139"/>
    </row>
    <row r="1519" spans="4:22">
      <c r="D1519" s="139"/>
      <c r="E1519" s="141" t="s">
        <v>1829</v>
      </c>
      <c r="F1519" s="141" t="s">
        <v>1756</v>
      </c>
      <c r="G1519" s="154" t="str">
        <f t="shared" si="242"/>
        <v>/</v>
      </c>
      <c r="H1519" s="141" t="str">
        <f t="shared" si="243"/>
        <v>/</v>
      </c>
      <c r="I1519" s="139" t="e">
        <f t="shared" si="237"/>
        <v>#NUM!</v>
      </c>
      <c r="J1519" s="139" t="e">
        <f t="shared" si="238"/>
        <v>#NUM!</v>
      </c>
      <c r="K1519" s="155">
        <f t="shared" si="241"/>
        <v>-1</v>
      </c>
      <c r="N1519" s="139">
        <f t="shared" si="239"/>
        <v>0</v>
      </c>
      <c r="O1519" s="139">
        <f t="shared" si="240"/>
        <v>1</v>
      </c>
      <c r="Q1519" s="186"/>
      <c r="R1519" s="186" t="s">
        <v>873</v>
      </c>
      <c r="S1519" s="139"/>
      <c r="V1519" s="139"/>
    </row>
    <row r="1520" spans="4:22">
      <c r="D1520" s="139"/>
      <c r="E1520" s="141" t="s">
        <v>1829</v>
      </c>
      <c r="F1520" s="141" t="s">
        <v>1756</v>
      </c>
      <c r="G1520" s="154" t="str">
        <f t="shared" si="242"/>
        <v>/</v>
      </c>
      <c r="H1520" s="141" t="str">
        <f t="shared" si="243"/>
        <v>/</v>
      </c>
      <c r="I1520" s="139" t="e">
        <f t="shared" si="237"/>
        <v>#NUM!</v>
      </c>
      <c r="J1520" s="139" t="e">
        <f t="shared" si="238"/>
        <v>#NUM!</v>
      </c>
      <c r="K1520" s="155">
        <f t="shared" si="241"/>
        <v>-1</v>
      </c>
      <c r="N1520" s="139">
        <f t="shared" si="239"/>
        <v>0</v>
      </c>
      <c r="O1520" s="139">
        <f t="shared" si="240"/>
        <v>1</v>
      </c>
      <c r="Q1520" s="186"/>
      <c r="R1520" s="186" t="s">
        <v>873</v>
      </c>
      <c r="S1520" s="139"/>
      <c r="V1520" s="139"/>
    </row>
    <row r="1521" spans="4:22">
      <c r="D1521" s="139"/>
      <c r="E1521" s="141" t="s">
        <v>1829</v>
      </c>
      <c r="F1521" s="141" t="s">
        <v>1756</v>
      </c>
      <c r="G1521" s="154" t="str">
        <f t="shared" si="242"/>
        <v>/</v>
      </c>
      <c r="H1521" s="141" t="str">
        <f t="shared" si="243"/>
        <v>/</v>
      </c>
      <c r="I1521" s="139" t="e">
        <f t="shared" si="237"/>
        <v>#NUM!</v>
      </c>
      <c r="J1521" s="139" t="e">
        <f t="shared" si="238"/>
        <v>#NUM!</v>
      </c>
      <c r="K1521" s="155">
        <f t="shared" si="241"/>
        <v>-1</v>
      </c>
      <c r="N1521" s="139">
        <f t="shared" si="239"/>
        <v>0</v>
      </c>
      <c r="O1521" s="139">
        <f t="shared" si="240"/>
        <v>1</v>
      </c>
      <c r="Q1521" s="186"/>
      <c r="R1521" s="186" t="s">
        <v>873</v>
      </c>
      <c r="S1521" s="139"/>
      <c r="V1521" s="139"/>
    </row>
    <row r="1522" spans="4:22">
      <c r="D1522" s="139"/>
      <c r="E1522" s="141" t="s">
        <v>1829</v>
      </c>
      <c r="F1522" s="141" t="s">
        <v>1756</v>
      </c>
      <c r="G1522" s="154" t="str">
        <f t="shared" si="242"/>
        <v>/</v>
      </c>
      <c r="H1522" s="141" t="str">
        <f t="shared" si="243"/>
        <v>/</v>
      </c>
      <c r="I1522" s="139" t="e">
        <f t="shared" si="237"/>
        <v>#NUM!</v>
      </c>
      <c r="J1522" s="139" t="e">
        <f t="shared" si="238"/>
        <v>#NUM!</v>
      </c>
      <c r="K1522" s="155">
        <f t="shared" si="241"/>
        <v>-1</v>
      </c>
      <c r="N1522" s="139">
        <f t="shared" si="239"/>
        <v>0</v>
      </c>
      <c r="O1522" s="139">
        <f t="shared" si="240"/>
        <v>1</v>
      </c>
      <c r="Q1522" s="186"/>
      <c r="R1522" s="186" t="s">
        <v>873</v>
      </c>
      <c r="S1522" s="139"/>
      <c r="V1522" s="139"/>
    </row>
    <row r="1523" spans="4:22">
      <c r="D1523" s="139"/>
      <c r="E1523" s="141" t="s">
        <v>1829</v>
      </c>
      <c r="F1523" s="141" t="s">
        <v>1756</v>
      </c>
      <c r="G1523" s="154" t="str">
        <f t="shared" si="242"/>
        <v>/</v>
      </c>
      <c r="H1523" s="141" t="str">
        <f t="shared" si="243"/>
        <v>/</v>
      </c>
      <c r="I1523" s="139" t="e">
        <f t="shared" ref="I1523:I1526" si="244">DAY(K1523)</f>
        <v>#NUM!</v>
      </c>
      <c r="J1523" s="139" t="e">
        <f t="shared" ref="J1523:J1526" si="245">MONTH(K1523)</f>
        <v>#NUM!</v>
      </c>
      <c r="K1523" s="155">
        <f t="shared" si="241"/>
        <v>-1</v>
      </c>
      <c r="N1523" s="139">
        <f t="shared" ref="N1523:N1526" si="246">DAY(P1523)</f>
        <v>0</v>
      </c>
      <c r="O1523" s="139">
        <f t="shared" ref="O1523:O1526" si="247">MONTH(P1523)</f>
        <v>1</v>
      </c>
      <c r="Q1523" s="186"/>
      <c r="R1523" s="186" t="s">
        <v>873</v>
      </c>
      <c r="S1523" s="139"/>
      <c r="V1523" s="139"/>
    </row>
    <row r="1524" spans="4:22">
      <c r="D1524" s="139"/>
      <c r="E1524" s="141" t="s">
        <v>1829</v>
      </c>
      <c r="F1524" s="141" t="s">
        <v>1756</v>
      </c>
      <c r="G1524" s="154" t="str">
        <f t="shared" si="242"/>
        <v>/</v>
      </c>
      <c r="H1524" s="141" t="str">
        <f t="shared" si="243"/>
        <v>/</v>
      </c>
      <c r="I1524" s="139" t="e">
        <f t="shared" si="244"/>
        <v>#NUM!</v>
      </c>
      <c r="J1524" s="139" t="e">
        <f t="shared" si="245"/>
        <v>#NUM!</v>
      </c>
      <c r="K1524" s="155">
        <f t="shared" si="241"/>
        <v>-1</v>
      </c>
      <c r="N1524" s="139">
        <f t="shared" si="246"/>
        <v>0</v>
      </c>
      <c r="O1524" s="139">
        <f t="shared" si="247"/>
        <v>1</v>
      </c>
      <c r="Q1524" s="186"/>
      <c r="R1524" s="186" t="s">
        <v>873</v>
      </c>
      <c r="S1524" s="139"/>
      <c r="V1524" s="139"/>
    </row>
    <row r="1525" spans="4:22">
      <c r="D1525" s="139"/>
      <c r="E1525" s="141" t="s">
        <v>1829</v>
      </c>
      <c r="F1525" s="141" t="s">
        <v>1756</v>
      </c>
      <c r="G1525" s="154" t="str">
        <f t="shared" si="242"/>
        <v>/</v>
      </c>
      <c r="H1525" s="141" t="str">
        <f t="shared" si="243"/>
        <v>/</v>
      </c>
      <c r="I1525" s="139" t="e">
        <f t="shared" si="244"/>
        <v>#NUM!</v>
      </c>
      <c r="J1525" s="139" t="e">
        <f t="shared" si="245"/>
        <v>#NUM!</v>
      </c>
      <c r="K1525" s="155">
        <f t="shared" si="241"/>
        <v>-1</v>
      </c>
      <c r="N1525" s="139">
        <f t="shared" si="246"/>
        <v>0</v>
      </c>
      <c r="O1525" s="139">
        <f t="shared" si="247"/>
        <v>1</v>
      </c>
      <c r="Q1525" s="186"/>
      <c r="R1525" s="186" t="s">
        <v>873</v>
      </c>
      <c r="S1525" s="139"/>
      <c r="V1525" s="139"/>
    </row>
    <row r="1526" spans="4:22">
      <c r="D1526" s="139"/>
      <c r="E1526" s="141" t="s">
        <v>1829</v>
      </c>
      <c r="F1526" s="141" t="s">
        <v>1756</v>
      </c>
      <c r="G1526" s="154" t="str">
        <f t="shared" si="242"/>
        <v>/</v>
      </c>
      <c r="H1526" s="141" t="str">
        <f t="shared" si="243"/>
        <v>/</v>
      </c>
      <c r="I1526" s="139" t="e">
        <f t="shared" si="244"/>
        <v>#NUM!</v>
      </c>
      <c r="J1526" s="139" t="e">
        <f t="shared" si="245"/>
        <v>#NUM!</v>
      </c>
      <c r="K1526" s="155">
        <f t="shared" si="241"/>
        <v>-1</v>
      </c>
      <c r="N1526" s="139">
        <f t="shared" si="246"/>
        <v>0</v>
      </c>
      <c r="O1526" s="139">
        <f t="shared" si="247"/>
        <v>1</v>
      </c>
      <c r="Q1526" s="186"/>
      <c r="R1526" s="186" t="s">
        <v>873</v>
      </c>
      <c r="S1526" s="139"/>
      <c r="V1526" s="139"/>
    </row>
    <row r="1527" spans="4:22">
      <c r="D1527" s="139"/>
      <c r="E1527" s="139"/>
      <c r="F1527" s="139"/>
      <c r="G1527" s="139"/>
      <c r="H1527" s="139"/>
      <c r="K1527" s="155"/>
      <c r="S1527" s="139"/>
      <c r="V1527" s="139"/>
    </row>
    <row r="1528" spans="4:22">
      <c r="D1528" s="139"/>
      <c r="E1528" s="139"/>
      <c r="F1528" s="139"/>
      <c r="G1528" s="139"/>
      <c r="H1528" s="139"/>
      <c r="K1528" s="155"/>
      <c r="S1528" s="139"/>
      <c r="V1528" s="139"/>
    </row>
    <row r="1529" spans="4:22">
      <c r="D1529" s="139"/>
      <c r="E1529" s="139"/>
      <c r="F1529" s="139"/>
      <c r="G1529" s="139"/>
      <c r="H1529" s="139"/>
      <c r="K1529" s="155"/>
      <c r="S1529" s="139"/>
      <c r="V1529" s="139"/>
    </row>
    <row r="1530" spans="4:22">
      <c r="D1530" s="139"/>
      <c r="E1530" s="139"/>
      <c r="F1530" s="139"/>
      <c r="G1530" s="139"/>
      <c r="H1530" s="139"/>
      <c r="K1530" s="155"/>
      <c r="S1530" s="139"/>
      <c r="V1530" s="139"/>
    </row>
    <row r="1531" spans="4:22">
      <c r="D1531" s="139"/>
      <c r="E1531" s="139"/>
      <c r="F1531" s="139"/>
      <c r="G1531" s="139"/>
      <c r="H1531" s="139"/>
      <c r="K1531" s="155"/>
      <c r="S1531" s="139"/>
      <c r="V1531" s="139"/>
    </row>
    <row r="1532" spans="4:22">
      <c r="D1532" s="139"/>
      <c r="E1532" s="139"/>
      <c r="F1532" s="139"/>
      <c r="G1532" s="139"/>
      <c r="H1532" s="139"/>
      <c r="K1532" s="155"/>
      <c r="S1532" s="139"/>
      <c r="V1532" s="139"/>
    </row>
    <row r="1533" spans="4:22">
      <c r="D1533" s="139"/>
      <c r="E1533" s="139"/>
      <c r="F1533" s="139"/>
      <c r="G1533" s="139"/>
      <c r="H1533" s="139"/>
      <c r="K1533" s="155"/>
      <c r="S1533" s="139"/>
      <c r="V1533" s="139"/>
    </row>
    <row r="1534" spans="4:22">
      <c r="D1534" s="139"/>
      <c r="E1534" s="139"/>
      <c r="F1534" s="139"/>
      <c r="G1534" s="139"/>
      <c r="H1534" s="139"/>
      <c r="K1534" s="155"/>
      <c r="S1534" s="139"/>
      <c r="V1534" s="139"/>
    </row>
    <row r="1535" spans="4:22">
      <c r="D1535" s="139"/>
      <c r="E1535" s="139"/>
      <c r="F1535" s="139"/>
      <c r="G1535" s="139"/>
      <c r="H1535" s="139"/>
      <c r="K1535" s="155"/>
      <c r="S1535" s="139"/>
      <c r="V1535" s="139"/>
    </row>
    <row r="1536" spans="4:22">
      <c r="D1536" s="139"/>
      <c r="E1536" s="139"/>
      <c r="F1536" s="139"/>
      <c r="G1536" s="139"/>
      <c r="H1536" s="139"/>
      <c r="K1536" s="155"/>
      <c r="S1536" s="139"/>
      <c r="V1536" s="139"/>
    </row>
    <row r="1537" spans="4:22">
      <c r="D1537" s="139"/>
      <c r="E1537" s="139"/>
      <c r="F1537" s="139"/>
      <c r="G1537" s="139"/>
      <c r="H1537" s="139"/>
      <c r="K1537" s="155"/>
      <c r="S1537" s="139"/>
      <c r="V1537" s="139"/>
    </row>
    <row r="1538" spans="4:22">
      <c r="D1538" s="139"/>
      <c r="E1538" s="139"/>
      <c r="F1538" s="139"/>
      <c r="G1538" s="139"/>
      <c r="H1538" s="139"/>
      <c r="K1538" s="155"/>
      <c r="S1538" s="139"/>
      <c r="V1538" s="139"/>
    </row>
    <row r="1539" spans="4:22">
      <c r="D1539" s="139"/>
      <c r="E1539" s="139"/>
      <c r="F1539" s="139"/>
      <c r="G1539" s="139"/>
      <c r="H1539" s="139"/>
      <c r="K1539" s="155"/>
      <c r="S1539" s="139"/>
      <c r="V1539" s="139"/>
    </row>
    <row r="1540" spans="4:22">
      <c r="D1540" s="139"/>
      <c r="E1540" s="139"/>
      <c r="F1540" s="139"/>
      <c r="G1540" s="139"/>
      <c r="H1540" s="139"/>
      <c r="K1540" s="155"/>
      <c r="S1540" s="139"/>
      <c r="V1540" s="139"/>
    </row>
    <row r="1541" spans="4:22">
      <c r="D1541" s="139"/>
      <c r="E1541" s="139"/>
      <c r="F1541" s="139"/>
      <c r="G1541" s="139"/>
      <c r="H1541" s="139"/>
      <c r="K1541" s="155"/>
      <c r="S1541" s="139"/>
      <c r="V1541" s="139"/>
    </row>
    <row r="1542" spans="4:22">
      <c r="D1542" s="139"/>
      <c r="E1542" s="139"/>
      <c r="F1542" s="139"/>
      <c r="G1542" s="139"/>
      <c r="H1542" s="139"/>
      <c r="K1542" s="155"/>
      <c r="S1542" s="139"/>
      <c r="V1542" s="139"/>
    </row>
    <row r="1543" spans="4:22">
      <c r="D1543" s="139"/>
      <c r="E1543" s="139"/>
      <c r="F1543" s="139"/>
      <c r="G1543" s="139"/>
      <c r="H1543" s="139"/>
      <c r="K1543" s="155"/>
      <c r="S1543" s="139"/>
      <c r="V1543" s="139"/>
    </row>
    <row r="1544" spans="4:22">
      <c r="D1544" s="139"/>
      <c r="E1544" s="139"/>
      <c r="F1544" s="139"/>
      <c r="G1544" s="139"/>
      <c r="H1544" s="139"/>
      <c r="K1544" s="155"/>
      <c r="S1544" s="139"/>
      <c r="V1544" s="139"/>
    </row>
    <row r="1545" spans="4:22">
      <c r="D1545" s="139"/>
      <c r="E1545" s="139"/>
      <c r="F1545" s="139"/>
      <c r="G1545" s="139"/>
      <c r="H1545" s="139"/>
      <c r="K1545" s="155"/>
      <c r="S1545" s="139"/>
      <c r="V1545" s="139"/>
    </row>
    <row r="1546" spans="4:22">
      <c r="D1546" s="139"/>
      <c r="E1546" s="139"/>
      <c r="F1546" s="139"/>
      <c r="G1546" s="139"/>
      <c r="H1546" s="139"/>
      <c r="K1546" s="155"/>
      <c r="S1546" s="139"/>
      <c r="V1546" s="139"/>
    </row>
    <row r="1547" spans="4:22">
      <c r="D1547" s="139"/>
      <c r="E1547" s="139"/>
      <c r="F1547" s="139"/>
      <c r="G1547" s="139"/>
      <c r="H1547" s="139"/>
      <c r="K1547" s="155"/>
      <c r="S1547" s="139"/>
      <c r="V1547" s="139"/>
    </row>
    <row r="1548" spans="4:22">
      <c r="D1548" s="139"/>
      <c r="E1548" s="139"/>
      <c r="F1548" s="139"/>
      <c r="G1548" s="139"/>
      <c r="H1548" s="139"/>
      <c r="K1548" s="155"/>
      <c r="S1548" s="139"/>
      <c r="V1548" s="139"/>
    </row>
    <row r="1549" spans="4:22">
      <c r="D1549" s="139"/>
      <c r="E1549" s="139"/>
      <c r="F1549" s="139"/>
      <c r="G1549" s="139"/>
      <c r="H1549" s="139"/>
      <c r="K1549" s="155"/>
      <c r="S1549" s="139"/>
      <c r="V1549" s="139"/>
    </row>
    <row r="1550" spans="4:22">
      <c r="D1550" s="139"/>
      <c r="E1550" s="139"/>
      <c r="F1550" s="139"/>
      <c r="G1550" s="139"/>
      <c r="H1550" s="139"/>
      <c r="K1550" s="155"/>
      <c r="S1550" s="139"/>
      <c r="V1550" s="139"/>
    </row>
    <row r="1551" spans="4:22">
      <c r="D1551" s="139"/>
      <c r="E1551" s="139"/>
      <c r="F1551" s="139"/>
      <c r="G1551" s="139"/>
      <c r="H1551" s="139"/>
      <c r="K1551" s="155"/>
      <c r="S1551" s="139"/>
      <c r="V1551" s="139"/>
    </row>
    <row r="1552" spans="4:22">
      <c r="D1552" s="139"/>
      <c r="E1552" s="139"/>
      <c r="F1552" s="139"/>
      <c r="G1552" s="139"/>
      <c r="H1552" s="139"/>
      <c r="K1552" s="155"/>
      <c r="S1552" s="139"/>
      <c r="V1552" s="139"/>
    </row>
    <row r="1553" spans="4:22">
      <c r="D1553" s="139"/>
      <c r="E1553" s="139"/>
      <c r="F1553" s="139"/>
      <c r="G1553" s="139"/>
      <c r="H1553" s="139"/>
      <c r="K1553" s="155"/>
      <c r="S1553" s="139"/>
      <c r="V1553" s="139"/>
    </row>
    <row r="1554" spans="4:22">
      <c r="D1554" s="139"/>
      <c r="E1554" s="139"/>
      <c r="F1554" s="139"/>
      <c r="G1554" s="139"/>
      <c r="H1554" s="139"/>
      <c r="K1554" s="155"/>
      <c r="S1554" s="139"/>
      <c r="V1554" s="139"/>
    </row>
    <row r="1555" spans="4:22">
      <c r="D1555" s="139"/>
      <c r="E1555" s="139"/>
      <c r="F1555" s="139"/>
      <c r="G1555" s="139"/>
      <c r="H1555" s="139"/>
      <c r="K1555" s="155"/>
      <c r="S1555" s="139"/>
      <c r="V1555" s="139"/>
    </row>
    <row r="1556" spans="4:22">
      <c r="D1556" s="139"/>
      <c r="E1556" s="139"/>
      <c r="F1556" s="139"/>
      <c r="G1556" s="139"/>
      <c r="H1556" s="139"/>
      <c r="K1556" s="155"/>
      <c r="S1556" s="139"/>
      <c r="V1556" s="139"/>
    </row>
    <row r="1557" spans="4:22">
      <c r="D1557" s="139"/>
      <c r="E1557" s="139"/>
      <c r="F1557" s="139"/>
      <c r="G1557" s="139"/>
      <c r="H1557" s="139"/>
      <c r="K1557" s="155"/>
      <c r="S1557" s="139"/>
      <c r="V1557" s="139"/>
    </row>
    <row r="1558" spans="4:22">
      <c r="D1558" s="139"/>
      <c r="E1558" s="139"/>
      <c r="F1558" s="139"/>
      <c r="G1558" s="139"/>
      <c r="H1558" s="139"/>
      <c r="K1558" s="155"/>
      <c r="S1558" s="139"/>
      <c r="V1558" s="139"/>
    </row>
    <row r="1559" spans="4:22">
      <c r="D1559" s="139"/>
      <c r="E1559" s="139"/>
      <c r="F1559" s="139"/>
      <c r="G1559" s="139"/>
      <c r="H1559" s="139"/>
      <c r="K1559" s="155"/>
      <c r="S1559" s="139"/>
      <c r="V1559" s="139"/>
    </row>
    <row r="1560" spans="4:22">
      <c r="D1560" s="139"/>
      <c r="E1560" s="139"/>
      <c r="F1560" s="139"/>
      <c r="G1560" s="139"/>
      <c r="H1560" s="139"/>
      <c r="K1560" s="155"/>
      <c r="S1560" s="139"/>
      <c r="V1560" s="139"/>
    </row>
    <row r="1561" spans="4:22">
      <c r="D1561" s="139"/>
      <c r="E1561" s="139"/>
      <c r="F1561" s="139"/>
      <c r="G1561" s="139"/>
      <c r="H1561" s="139"/>
      <c r="K1561" s="155"/>
      <c r="S1561" s="139"/>
      <c r="V1561" s="139"/>
    </row>
    <row r="1562" spans="4:22">
      <c r="D1562" s="139"/>
      <c r="E1562" s="139"/>
      <c r="F1562" s="139"/>
      <c r="G1562" s="139"/>
      <c r="H1562" s="139"/>
      <c r="K1562" s="155"/>
      <c r="S1562" s="139"/>
      <c r="V1562" s="139"/>
    </row>
    <row r="1563" spans="4:22">
      <c r="D1563" s="139"/>
      <c r="E1563" s="139"/>
      <c r="F1563" s="139"/>
      <c r="G1563" s="139"/>
      <c r="H1563" s="139"/>
      <c r="K1563" s="155"/>
      <c r="S1563" s="139"/>
      <c r="V1563" s="139"/>
    </row>
    <row r="1564" spans="4:22">
      <c r="D1564" s="139"/>
      <c r="E1564" s="139"/>
      <c r="F1564" s="139"/>
      <c r="G1564" s="139"/>
      <c r="H1564" s="139"/>
      <c r="K1564" s="155"/>
      <c r="S1564" s="139"/>
      <c r="V1564" s="139"/>
    </row>
    <row r="1565" spans="4:22">
      <c r="D1565" s="139"/>
      <c r="E1565" s="139"/>
      <c r="F1565" s="139"/>
      <c r="G1565" s="139"/>
      <c r="H1565" s="139"/>
      <c r="K1565" s="155"/>
      <c r="S1565" s="139"/>
      <c r="V1565" s="139"/>
    </row>
    <row r="1566" spans="4:22">
      <c r="D1566" s="139"/>
      <c r="E1566" s="139"/>
      <c r="F1566" s="139"/>
      <c r="G1566" s="139"/>
      <c r="H1566" s="139"/>
      <c r="K1566" s="155"/>
      <c r="S1566" s="139"/>
      <c r="V1566" s="139"/>
    </row>
    <row r="1567" spans="4:22">
      <c r="D1567" s="139"/>
      <c r="E1567" s="139"/>
      <c r="F1567" s="139"/>
      <c r="G1567" s="139"/>
      <c r="H1567" s="139"/>
      <c r="K1567" s="155"/>
      <c r="S1567" s="139"/>
      <c r="V1567" s="139"/>
    </row>
    <row r="1568" spans="4:22">
      <c r="D1568" s="139"/>
      <c r="E1568" s="139"/>
      <c r="F1568" s="139"/>
      <c r="G1568" s="139"/>
      <c r="H1568" s="139"/>
      <c r="K1568" s="155"/>
      <c r="S1568" s="139"/>
      <c r="V1568" s="139"/>
    </row>
    <row r="1569" spans="4:22">
      <c r="D1569" s="139"/>
      <c r="E1569" s="139"/>
      <c r="F1569" s="139"/>
      <c r="G1569" s="139"/>
      <c r="H1569" s="139"/>
      <c r="K1569" s="155"/>
      <c r="S1569" s="139"/>
      <c r="V1569" s="139"/>
    </row>
    <row r="1570" spans="4:22">
      <c r="D1570" s="139"/>
      <c r="E1570" s="139"/>
      <c r="F1570" s="139"/>
      <c r="G1570" s="139"/>
      <c r="H1570" s="139"/>
      <c r="K1570" s="155"/>
      <c r="S1570" s="139"/>
      <c r="V1570" s="139"/>
    </row>
    <row r="1571" spans="4:22">
      <c r="D1571" s="139"/>
      <c r="E1571" s="139"/>
      <c r="F1571" s="139"/>
      <c r="G1571" s="139"/>
      <c r="H1571" s="139"/>
      <c r="K1571" s="155"/>
      <c r="S1571" s="139"/>
      <c r="V1571" s="139"/>
    </row>
    <row r="1572" spans="4:22">
      <c r="D1572" s="139"/>
      <c r="E1572" s="139"/>
      <c r="F1572" s="139"/>
      <c r="G1572" s="139"/>
      <c r="H1572" s="139"/>
      <c r="K1572" s="155"/>
      <c r="S1572" s="139"/>
      <c r="V1572" s="139"/>
    </row>
    <row r="1573" spans="4:22">
      <c r="D1573" s="139"/>
      <c r="E1573" s="139"/>
      <c r="F1573" s="139"/>
      <c r="G1573" s="139"/>
      <c r="H1573" s="139"/>
      <c r="K1573" s="155"/>
      <c r="S1573" s="139"/>
      <c r="V1573" s="139"/>
    </row>
    <row r="1574" spans="4:22">
      <c r="D1574" s="139"/>
      <c r="E1574" s="139"/>
      <c r="F1574" s="139"/>
      <c r="G1574" s="139"/>
      <c r="H1574" s="139"/>
      <c r="K1574" s="155"/>
      <c r="S1574" s="139"/>
      <c r="V1574" s="139"/>
    </row>
    <row r="1575" spans="4:22">
      <c r="D1575" s="139"/>
      <c r="E1575" s="139"/>
      <c r="F1575" s="139"/>
      <c r="G1575" s="139"/>
      <c r="H1575" s="139"/>
      <c r="K1575" s="155"/>
      <c r="S1575" s="139"/>
      <c r="V1575" s="139"/>
    </row>
    <row r="1576" spans="4:22">
      <c r="D1576" s="139"/>
      <c r="E1576" s="139"/>
      <c r="F1576" s="139"/>
      <c r="G1576" s="139"/>
      <c r="H1576" s="139"/>
      <c r="K1576" s="155"/>
      <c r="S1576" s="139"/>
      <c r="V1576" s="139"/>
    </row>
    <row r="1577" spans="4:22">
      <c r="D1577" s="139"/>
      <c r="E1577" s="139"/>
      <c r="F1577" s="139"/>
      <c r="G1577" s="139"/>
      <c r="H1577" s="139"/>
      <c r="K1577" s="155"/>
      <c r="S1577" s="139"/>
      <c r="V1577" s="139"/>
    </row>
    <row r="1578" spans="4:22">
      <c r="D1578" s="139"/>
      <c r="E1578" s="139"/>
      <c r="F1578" s="139"/>
      <c r="G1578" s="139"/>
      <c r="H1578" s="139"/>
      <c r="K1578" s="155"/>
      <c r="S1578" s="139"/>
      <c r="V1578" s="139"/>
    </row>
    <row r="1579" spans="4:22">
      <c r="D1579" s="139"/>
      <c r="E1579" s="139"/>
      <c r="F1579" s="139"/>
      <c r="G1579" s="139"/>
      <c r="H1579" s="139"/>
      <c r="K1579" s="155"/>
      <c r="S1579" s="139"/>
      <c r="V1579" s="139"/>
    </row>
    <row r="1580" spans="4:22">
      <c r="D1580" s="139"/>
      <c r="E1580" s="139"/>
      <c r="F1580" s="139"/>
      <c r="G1580" s="139"/>
      <c r="H1580" s="139"/>
      <c r="K1580" s="155"/>
      <c r="S1580" s="139"/>
      <c r="V1580" s="139"/>
    </row>
    <row r="1581" spans="4:22">
      <c r="D1581" s="139"/>
      <c r="E1581" s="139"/>
      <c r="F1581" s="139"/>
      <c r="G1581" s="139"/>
      <c r="H1581" s="139"/>
      <c r="K1581" s="155"/>
      <c r="S1581" s="139"/>
      <c r="V1581" s="139"/>
    </row>
    <row r="1582" spans="4:22">
      <c r="D1582" s="139"/>
      <c r="E1582" s="139"/>
      <c r="F1582" s="139"/>
      <c r="G1582" s="139"/>
      <c r="H1582" s="139"/>
      <c r="K1582" s="155"/>
      <c r="S1582" s="139"/>
      <c r="V1582" s="139"/>
    </row>
    <row r="1583" spans="4:22">
      <c r="D1583" s="139"/>
      <c r="E1583" s="139"/>
      <c r="F1583" s="139"/>
      <c r="G1583" s="139"/>
      <c r="H1583" s="139"/>
      <c r="K1583" s="155"/>
      <c r="S1583" s="139"/>
      <c r="V1583" s="139"/>
    </row>
    <row r="1584" spans="4:22">
      <c r="D1584" s="139"/>
      <c r="E1584" s="139"/>
      <c r="F1584" s="139"/>
      <c r="G1584" s="139"/>
      <c r="H1584" s="139"/>
      <c r="K1584" s="155"/>
      <c r="S1584" s="139"/>
      <c r="V1584" s="139"/>
    </row>
    <row r="1585" spans="4:22">
      <c r="D1585" s="139"/>
      <c r="E1585" s="139"/>
      <c r="F1585" s="139"/>
      <c r="G1585" s="139"/>
      <c r="H1585" s="139"/>
      <c r="K1585" s="155"/>
      <c r="S1585" s="139"/>
      <c r="V1585" s="139"/>
    </row>
    <row r="1586" spans="4:22">
      <c r="D1586" s="139"/>
      <c r="E1586" s="139"/>
      <c r="F1586" s="139"/>
      <c r="G1586" s="139"/>
      <c r="H1586" s="139"/>
      <c r="K1586" s="155"/>
      <c r="S1586" s="139"/>
      <c r="V1586" s="139"/>
    </row>
  </sheetData>
  <pageMargins left="0.51181102362204722" right="0.35433070866141736" top="0.74803149606299213" bottom="0.74803149606299213" header="0.31496062992125984" footer="0.31496062992125984"/>
  <pageSetup paperSize="9" scale="6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R1551"/>
  <sheetViews>
    <sheetView zoomScale="85" zoomScaleNormal="85" workbookViewId="0">
      <selection activeCell="AN16" sqref="AN16"/>
    </sheetView>
  </sheetViews>
  <sheetFormatPr defaultRowHeight="15.75"/>
  <cols>
    <col min="1" max="1" width="5.5" style="139" customWidth="1"/>
    <col min="2" max="2" width="11" style="139" hidden="1" customWidth="1"/>
    <col min="3" max="3" width="10.125" style="139" bestFit="1" customWidth="1"/>
    <col min="4" max="4" width="52.75" style="141" bestFit="1" customWidth="1"/>
    <col min="5" max="5" width="27.125" style="141" bestFit="1" customWidth="1"/>
    <col min="6" max="6" width="19.375" style="141" bestFit="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7"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6384" width="9" style="139"/>
  </cols>
  <sheetData>
    <row r="1" spans="1:18" ht="29.25" thickBot="1">
      <c r="A1" s="174" t="s">
        <v>1085</v>
      </c>
      <c r="B1" s="158" t="s">
        <v>1063</v>
      </c>
      <c r="C1" s="150" t="s">
        <v>1004</v>
      </c>
      <c r="D1" s="15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8" ht="32.25" thickTop="1">
      <c r="A2" s="139">
        <v>1</v>
      </c>
      <c r="C2" s="139" t="s">
        <v>1600</v>
      </c>
      <c r="D2" s="141" t="str">
        <f>VLOOKUP($C2,TUANBV,2,0)</f>
        <v>Đào hố móng</v>
      </c>
      <c r="E2" s="141" t="str">
        <f>VLOOKUP($C2,TUANBV,3,0)</f>
        <v>Nhà tiểu học 3 phòng</v>
      </c>
      <c r="F2" s="141" t="str">
        <f>VLOOKUP($C2,TUANBV,4,0)</f>
        <v>Điểm TĐC Pom Chốn</v>
      </c>
      <c r="G2" s="141" t="str">
        <f>VLOOKUP($C2,TUANBV,5,0)</f>
        <v>1/DMTH3PC</v>
      </c>
      <c r="H2" s="141" t="str">
        <f>VLOOKUP($C2,TUANBV,6,0)</f>
        <v>1/DMTH3PC</v>
      </c>
      <c r="I2" s="141" t="str">
        <f>VLOOKUP($C2,TUANBV,7,0)</f>
        <v>18</v>
      </c>
      <c r="J2" s="141" t="str">
        <f>VLOOKUP($C2,TUANBV,8,0)</f>
        <v>08</v>
      </c>
      <c r="K2" s="142">
        <f>VLOOKUP($C2,TUANBV,9,0)</f>
        <v>41869</v>
      </c>
      <c r="L2" s="141" t="str">
        <f>VLOOKUP($C2,TUANBV,10,0)</f>
        <v>08 giờ 00</v>
      </c>
      <c r="M2" s="141" t="str">
        <f>VLOOKUP($C2,TUANBV,11,0)</f>
        <v>09 giờ 00</v>
      </c>
      <c r="N2" s="141" t="str">
        <f>VLOOKUP($C2,TUANBV,12,0)</f>
        <v>19</v>
      </c>
      <c r="O2" s="141" t="str">
        <f>VLOOKUP($C2,TUANBV,13,0)</f>
        <v>08</v>
      </c>
      <c r="P2" s="142">
        <f>VLOOKUP($C2,TUANBV,14,0)</f>
        <v>41870</v>
      </c>
      <c r="Q2" s="141" t="str">
        <f>VLOOKUP($C2,TUANBV,15,0)</f>
        <v>Nguyễn Xuân Quỳnh</v>
      </c>
      <c r="R2" s="141" t="str">
        <f>VLOOKUP($C2,TUANBV,16,0)</f>
        <v>Lê Văn Thái</v>
      </c>
    </row>
    <row r="3" spans="1:18">
      <c r="G3" s="154"/>
      <c r="K3" s="142"/>
      <c r="P3" s="142"/>
    </row>
    <row r="4" spans="1:18">
      <c r="G4" s="154"/>
      <c r="K4" s="142"/>
      <c r="P4" s="142"/>
    </row>
    <row r="5" spans="1:18">
      <c r="G5" s="154"/>
      <c r="K5" s="142"/>
      <c r="P5" s="142"/>
    </row>
    <row r="6" spans="1:18">
      <c r="G6" s="154"/>
      <c r="K6" s="142"/>
      <c r="P6" s="142"/>
    </row>
    <row r="7" spans="1:18">
      <c r="G7" s="154"/>
      <c r="K7" s="142"/>
      <c r="P7" s="142"/>
    </row>
    <row r="8" spans="1:18">
      <c r="G8" s="154"/>
      <c r="K8" s="142"/>
      <c r="P8" s="142"/>
    </row>
    <row r="9" spans="1:18">
      <c r="G9" s="154"/>
      <c r="K9" s="142"/>
      <c r="P9" s="142"/>
    </row>
    <row r="10" spans="1:18">
      <c r="G10" s="154"/>
      <c r="K10" s="142"/>
      <c r="P10" s="142"/>
    </row>
    <row r="11" spans="1:18" s="141" customFormat="1">
      <c r="C11" s="139"/>
      <c r="G11" s="154"/>
      <c r="I11" s="139"/>
      <c r="J11" s="139"/>
      <c r="K11" s="142"/>
      <c r="N11" s="139"/>
      <c r="O11" s="139"/>
      <c r="P11" s="142"/>
    </row>
    <row r="12" spans="1:18" s="141" customFormat="1">
      <c r="C12" s="139"/>
      <c r="G12" s="154"/>
      <c r="I12" s="139"/>
      <c r="J12" s="139"/>
      <c r="K12" s="142"/>
      <c r="N12" s="139"/>
      <c r="O12" s="139"/>
      <c r="P12" s="142"/>
    </row>
    <row r="13" spans="1:18" s="141" customFormat="1">
      <c r="C13" s="139"/>
      <c r="G13" s="154"/>
      <c r="I13" s="139"/>
      <c r="J13" s="139"/>
      <c r="K13" s="142"/>
      <c r="N13" s="139"/>
      <c r="O13" s="139"/>
      <c r="P13" s="142"/>
    </row>
    <row r="14" spans="1:18" s="141" customFormat="1">
      <c r="C14" s="139"/>
      <c r="G14" s="154"/>
      <c r="I14" s="139"/>
      <c r="J14" s="139"/>
      <c r="K14" s="142"/>
      <c r="N14" s="139"/>
      <c r="O14" s="139"/>
      <c r="P14" s="142"/>
    </row>
    <row r="15" spans="1:18" s="141" customFormat="1">
      <c r="C15" s="139"/>
      <c r="G15" s="154"/>
      <c r="I15" s="139"/>
      <c r="J15" s="139"/>
      <c r="K15" s="142"/>
      <c r="N15" s="139"/>
      <c r="O15" s="139"/>
      <c r="P15" s="142"/>
    </row>
    <row r="16" spans="1:18" s="141" customFormat="1">
      <c r="C16" s="139"/>
      <c r="G16" s="154"/>
      <c r="I16" s="139"/>
      <c r="J16" s="139"/>
      <c r="K16" s="142"/>
      <c r="N16" s="139"/>
      <c r="O16" s="139"/>
      <c r="P16" s="142"/>
    </row>
    <row r="17" spans="3:16" s="141" customFormat="1">
      <c r="C17" s="139"/>
      <c r="G17" s="154"/>
      <c r="I17" s="139"/>
      <c r="J17" s="139"/>
      <c r="K17" s="142"/>
      <c r="N17" s="139"/>
      <c r="O17" s="139"/>
      <c r="P17" s="142"/>
    </row>
    <row r="18" spans="3:16">
      <c r="G18" s="154"/>
      <c r="K18" s="142"/>
      <c r="P18" s="142"/>
    </row>
    <row r="19" spans="3:16">
      <c r="G19" s="154"/>
      <c r="K19" s="142"/>
      <c r="P19" s="142"/>
    </row>
    <row r="20" spans="3:16">
      <c r="G20" s="154"/>
      <c r="K20" s="142"/>
      <c r="P20" s="142"/>
    </row>
    <row r="21" spans="3:16">
      <c r="G21" s="154"/>
      <c r="K21" s="142"/>
      <c r="P21" s="142"/>
    </row>
    <row r="22" spans="3:16">
      <c r="G22" s="154"/>
      <c r="K22" s="142"/>
      <c r="P22" s="142"/>
    </row>
    <row r="23" spans="3:16">
      <c r="G23" s="154"/>
      <c r="K23" s="142"/>
      <c r="P23" s="142"/>
    </row>
    <row r="24" spans="3:16">
      <c r="G24" s="154"/>
      <c r="K24" s="142"/>
      <c r="P24" s="142"/>
    </row>
    <row r="25" spans="3:16">
      <c r="K25" s="142"/>
      <c r="P25" s="142"/>
    </row>
    <row r="26" spans="3:16">
      <c r="K26" s="142"/>
      <c r="P26" s="142"/>
    </row>
    <row r="27" spans="3:16">
      <c r="K27" s="142"/>
      <c r="P27" s="142"/>
    </row>
    <row r="28" spans="3:16">
      <c r="E28" s="139"/>
      <c r="G28" s="139"/>
      <c r="H28" s="139"/>
      <c r="J28" s="141"/>
      <c r="K28" s="142"/>
      <c r="M28" s="141"/>
      <c r="O28" s="141"/>
      <c r="P28" s="142"/>
    </row>
    <row r="29" spans="3:16">
      <c r="K29" s="142"/>
      <c r="P29" s="142"/>
    </row>
    <row r="30" spans="3:16">
      <c r="K30" s="142"/>
      <c r="P30" s="142"/>
    </row>
    <row r="31" spans="3:16">
      <c r="K31" s="142"/>
      <c r="P31" s="142"/>
    </row>
    <row r="32" spans="3:16">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19"/>
  <sheetViews>
    <sheetView zoomScaleNormal="100" workbookViewId="0">
      <selection activeCell="C12" sqref="C12"/>
    </sheetView>
  </sheetViews>
  <sheetFormatPr defaultRowHeight="19.5" customHeight="1"/>
  <cols>
    <col min="1" max="2" width="9" style="19"/>
    <col min="3" max="3" width="44.375" style="20" customWidth="1"/>
    <col min="4" max="4" width="14.625" style="19" customWidth="1"/>
    <col min="5" max="13" width="0" style="19" hidden="1" customWidth="1"/>
    <col min="14" max="14" width="9" style="19"/>
    <col min="15" max="15" width="19.625" style="19" customWidth="1"/>
    <col min="16" max="16" width="9" style="19" hidden="1" customWidth="1"/>
    <col min="17" max="17" width="16.5" style="19" customWidth="1"/>
    <col min="18" max="18" width="9" style="19" hidden="1" customWidth="1"/>
    <col min="19" max="19" width="13" style="19" customWidth="1"/>
    <col min="20" max="16384" width="9" style="19"/>
  </cols>
  <sheetData>
    <row r="1" spans="1:18" s="18" customFormat="1" ht="40.5" customHeight="1">
      <c r="A1" s="17" t="s">
        <v>0</v>
      </c>
      <c r="B1" s="17" t="s">
        <v>14</v>
      </c>
      <c r="C1" s="17" t="s">
        <v>1</v>
      </c>
      <c r="D1" s="17" t="s">
        <v>2</v>
      </c>
      <c r="E1" s="1" t="s">
        <v>11</v>
      </c>
      <c r="F1" s="1" t="s">
        <v>12</v>
      </c>
      <c r="G1" s="1" t="s">
        <v>13</v>
      </c>
      <c r="H1" s="17" t="s">
        <v>3</v>
      </c>
      <c r="I1" s="17" t="s">
        <v>4</v>
      </c>
      <c r="J1" s="1" t="s">
        <v>5</v>
      </c>
      <c r="K1" s="1" t="s">
        <v>6</v>
      </c>
      <c r="L1" s="1" t="s">
        <v>7</v>
      </c>
      <c r="M1" s="1" t="s">
        <v>8</v>
      </c>
      <c r="N1" s="1" t="s">
        <v>854</v>
      </c>
      <c r="O1" s="1" t="s">
        <v>827</v>
      </c>
      <c r="P1" s="1" t="s">
        <v>9</v>
      </c>
      <c r="Q1" s="1" t="s">
        <v>10</v>
      </c>
      <c r="R1" s="17" t="s">
        <v>31</v>
      </c>
    </row>
    <row r="2" spans="1:18" ht="19.5" customHeight="1">
      <c r="A2" s="19">
        <v>1</v>
      </c>
      <c r="B2" s="21" t="s">
        <v>830</v>
      </c>
      <c r="C2" s="20" t="s">
        <v>828</v>
      </c>
      <c r="N2" s="19" t="s">
        <v>852</v>
      </c>
      <c r="O2" s="22">
        <v>41719</v>
      </c>
      <c r="Q2" s="22">
        <v>41720</v>
      </c>
    </row>
    <row r="3" spans="1:18" ht="19.5" customHeight="1">
      <c r="A3" s="19">
        <v>2</v>
      </c>
      <c r="B3" s="21" t="s">
        <v>831</v>
      </c>
      <c r="C3" s="20" t="s">
        <v>829</v>
      </c>
      <c r="N3" s="19" t="s">
        <v>852</v>
      </c>
      <c r="O3" s="22">
        <v>41719</v>
      </c>
      <c r="Q3" s="22">
        <v>41720</v>
      </c>
    </row>
    <row r="4" spans="1:18" ht="19.5" customHeight="1">
      <c r="A4" s="19">
        <v>3</v>
      </c>
      <c r="B4" s="21" t="s">
        <v>832</v>
      </c>
      <c r="C4" s="20" t="s">
        <v>833</v>
      </c>
      <c r="N4" s="19" t="s">
        <v>855</v>
      </c>
      <c r="O4" s="22">
        <v>41723</v>
      </c>
      <c r="Q4" s="22">
        <v>41724</v>
      </c>
    </row>
    <row r="5" spans="1:18" ht="19.5" customHeight="1">
      <c r="A5" s="19">
        <v>4</v>
      </c>
      <c r="B5" s="21" t="s">
        <v>834</v>
      </c>
      <c r="C5" s="20" t="s">
        <v>838</v>
      </c>
      <c r="N5" s="19" t="s">
        <v>855</v>
      </c>
      <c r="O5" s="22">
        <v>41723</v>
      </c>
      <c r="Q5" s="22">
        <v>41724</v>
      </c>
    </row>
    <row r="6" spans="1:18" ht="19.5" customHeight="1">
      <c r="A6" s="19">
        <v>5</v>
      </c>
      <c r="B6" s="21" t="s">
        <v>839</v>
      </c>
      <c r="C6" s="20" t="s">
        <v>837</v>
      </c>
      <c r="N6" s="19" t="s">
        <v>855</v>
      </c>
      <c r="O6" s="22">
        <v>41723</v>
      </c>
      <c r="Q6" s="22">
        <v>41724</v>
      </c>
    </row>
    <row r="7" spans="1:18" ht="19.5" customHeight="1">
      <c r="A7" s="19">
        <v>6</v>
      </c>
      <c r="B7" s="21" t="s">
        <v>840</v>
      </c>
      <c r="C7" s="20" t="s">
        <v>836</v>
      </c>
      <c r="N7" s="19" t="s">
        <v>855</v>
      </c>
      <c r="O7" s="22">
        <v>41723</v>
      </c>
      <c r="Q7" s="22">
        <v>41724</v>
      </c>
    </row>
    <row r="8" spans="1:18" ht="19.5" customHeight="1">
      <c r="A8" s="19">
        <v>7</v>
      </c>
      <c r="B8" s="21" t="s">
        <v>841</v>
      </c>
      <c r="C8" s="20" t="s">
        <v>835</v>
      </c>
      <c r="N8" s="19" t="s">
        <v>855</v>
      </c>
      <c r="O8" s="22">
        <v>41723</v>
      </c>
      <c r="Q8" s="22">
        <v>41724</v>
      </c>
    </row>
    <row r="9" spans="1:18" ht="19.5" customHeight="1">
      <c r="A9" s="19">
        <v>8</v>
      </c>
      <c r="B9" s="21" t="s">
        <v>843</v>
      </c>
      <c r="C9" s="20" t="s">
        <v>842</v>
      </c>
      <c r="N9" s="19" t="s">
        <v>852</v>
      </c>
      <c r="O9" s="22">
        <v>41723</v>
      </c>
      <c r="Q9" s="22">
        <v>41724</v>
      </c>
    </row>
    <row r="10" spans="1:18" ht="19.5" customHeight="1">
      <c r="A10" s="19">
        <v>9</v>
      </c>
      <c r="B10" s="21" t="s">
        <v>844</v>
      </c>
      <c r="C10" s="23" t="s">
        <v>849</v>
      </c>
      <c r="N10" s="19" t="s">
        <v>856</v>
      </c>
      <c r="O10" s="22">
        <v>41726</v>
      </c>
      <c r="Q10" s="22">
        <v>41726</v>
      </c>
    </row>
    <row r="11" spans="1:18" ht="19.5" customHeight="1">
      <c r="A11" s="19">
        <v>10</v>
      </c>
      <c r="B11" s="21" t="s">
        <v>845</v>
      </c>
      <c r="C11" s="23" t="s">
        <v>850</v>
      </c>
      <c r="N11" s="19" t="s">
        <v>853</v>
      </c>
      <c r="O11" s="22">
        <v>41726</v>
      </c>
      <c r="Q11" s="22">
        <v>41726</v>
      </c>
    </row>
    <row r="12" spans="1:18" ht="19.5" customHeight="1">
      <c r="A12" s="19">
        <v>11</v>
      </c>
      <c r="B12" s="21" t="s">
        <v>846</v>
      </c>
      <c r="C12" s="20" t="s">
        <v>851</v>
      </c>
      <c r="N12" s="19" t="s">
        <v>857</v>
      </c>
      <c r="O12" s="22">
        <v>41726</v>
      </c>
      <c r="Q12" s="22">
        <v>41729</v>
      </c>
    </row>
    <row r="13" spans="1:18" ht="19.5" customHeight="1">
      <c r="A13" s="19">
        <v>12</v>
      </c>
      <c r="B13" s="21" t="s">
        <v>847</v>
      </c>
    </row>
    <row r="14" spans="1:18" ht="19.5" customHeight="1">
      <c r="A14" s="19">
        <v>13</v>
      </c>
      <c r="B14" s="21" t="s">
        <v>848</v>
      </c>
    </row>
    <row r="15" spans="1:18" ht="19.5" customHeight="1">
      <c r="A15" s="19">
        <v>14</v>
      </c>
    </row>
    <row r="16" spans="1:18" ht="19.5" customHeight="1">
      <c r="A16" s="19">
        <v>15</v>
      </c>
    </row>
    <row r="17" spans="1:1" ht="19.5" customHeight="1">
      <c r="A17" s="19">
        <v>16</v>
      </c>
    </row>
    <row r="18" spans="1:1" ht="19.5" customHeight="1">
      <c r="A18" s="19">
        <v>17</v>
      </c>
    </row>
    <row r="19" spans="1:1" ht="19.5" customHeight="1">
      <c r="A19" s="19">
        <v>18</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C00000"/>
  </sheetPr>
  <dimension ref="A1:F21"/>
  <sheetViews>
    <sheetView topLeftCell="A7" workbookViewId="0">
      <selection activeCell="K9" sqref="K9"/>
    </sheetView>
  </sheetViews>
  <sheetFormatPr defaultRowHeight="18" customHeight="1"/>
  <cols>
    <col min="1" max="1" width="9" style="57"/>
    <col min="2" max="2" width="26.25" style="58" customWidth="1"/>
    <col min="3" max="3" width="30.5" style="58" customWidth="1"/>
    <col min="4" max="6" width="9" style="57"/>
    <col min="7" max="16384" width="9" style="55"/>
  </cols>
  <sheetData>
    <row r="1" spans="1:6" s="54" customFormat="1" ht="54.75" customHeight="1">
      <c r="A1" s="53" t="s">
        <v>874</v>
      </c>
      <c r="B1" s="53" t="s">
        <v>882</v>
      </c>
      <c r="C1" s="53" t="s">
        <v>875</v>
      </c>
      <c r="D1" s="53" t="s">
        <v>876</v>
      </c>
      <c r="E1" s="53" t="s">
        <v>877</v>
      </c>
      <c r="F1" s="53" t="s">
        <v>866</v>
      </c>
    </row>
    <row r="2" spans="1:6" ht="18" customHeight="1">
      <c r="A2" s="59">
        <v>1</v>
      </c>
      <c r="B2" s="410" t="s">
        <v>883</v>
      </c>
      <c r="C2" s="60" t="s">
        <v>880</v>
      </c>
      <c r="D2" s="59"/>
      <c r="E2" s="59"/>
      <c r="F2" s="407" t="s">
        <v>879</v>
      </c>
    </row>
    <row r="3" spans="1:6" ht="18" customHeight="1">
      <c r="A3" s="56">
        <v>2</v>
      </c>
      <c r="B3" s="411"/>
      <c r="C3" s="24" t="s">
        <v>878</v>
      </c>
      <c r="D3" s="56"/>
      <c r="E3" s="56"/>
      <c r="F3" s="408"/>
    </row>
    <row r="4" spans="1:6" ht="18" customHeight="1">
      <c r="A4" s="61">
        <v>3</v>
      </c>
      <c r="B4" s="412"/>
      <c r="C4" s="62" t="s">
        <v>881</v>
      </c>
      <c r="D4" s="61"/>
      <c r="E4" s="61"/>
      <c r="F4" s="409"/>
    </row>
    <row r="5" spans="1:6" ht="18" customHeight="1">
      <c r="A5" s="59">
        <v>1</v>
      </c>
      <c r="B5" s="407" t="s">
        <v>884</v>
      </c>
      <c r="C5" s="60" t="s">
        <v>880</v>
      </c>
      <c r="D5" s="59"/>
      <c r="E5" s="59"/>
      <c r="F5" s="407" t="s">
        <v>879</v>
      </c>
    </row>
    <row r="6" spans="1:6" ht="18" customHeight="1">
      <c r="A6" s="56">
        <v>2</v>
      </c>
      <c r="B6" s="408"/>
      <c r="C6" s="24" t="s">
        <v>885</v>
      </c>
      <c r="D6" s="56"/>
      <c r="E6" s="56"/>
      <c r="F6" s="408"/>
    </row>
    <row r="7" spans="1:6" ht="18" customHeight="1">
      <c r="A7" s="56">
        <v>3</v>
      </c>
      <c r="B7" s="408"/>
      <c r="C7" s="24" t="s">
        <v>881</v>
      </c>
      <c r="D7" s="56"/>
      <c r="E7" s="56"/>
      <c r="F7" s="408"/>
    </row>
    <row r="8" spans="1:6" ht="18" customHeight="1">
      <c r="A8" s="63">
        <v>4</v>
      </c>
      <c r="B8" s="409"/>
      <c r="C8" s="64" t="s">
        <v>886</v>
      </c>
      <c r="D8" s="63"/>
      <c r="E8" s="63"/>
      <c r="F8" s="409"/>
    </row>
    <row r="9" spans="1:6" ht="18" customHeight="1">
      <c r="A9" s="59">
        <v>1</v>
      </c>
      <c r="B9" s="407" t="s">
        <v>887</v>
      </c>
      <c r="C9" s="60" t="s">
        <v>880</v>
      </c>
      <c r="D9" s="59"/>
      <c r="E9" s="59"/>
      <c r="F9" s="407" t="s">
        <v>879</v>
      </c>
    </row>
    <row r="10" spans="1:6" ht="18" customHeight="1">
      <c r="A10" s="56">
        <v>2</v>
      </c>
      <c r="B10" s="408"/>
      <c r="C10" s="24" t="s">
        <v>885</v>
      </c>
      <c r="D10" s="56"/>
      <c r="E10" s="56"/>
      <c r="F10" s="408"/>
    </row>
    <row r="11" spans="1:6" ht="18" customHeight="1">
      <c r="A11" s="56">
        <v>3</v>
      </c>
      <c r="B11" s="408"/>
      <c r="C11" s="24" t="s">
        <v>881</v>
      </c>
      <c r="D11" s="56"/>
      <c r="E11" s="56"/>
      <c r="F11" s="408"/>
    </row>
    <row r="12" spans="1:6" ht="18" customHeight="1">
      <c r="A12" s="63">
        <v>4</v>
      </c>
      <c r="B12" s="409"/>
      <c r="C12" s="64" t="s">
        <v>886</v>
      </c>
      <c r="D12" s="63"/>
      <c r="E12" s="63"/>
      <c r="F12" s="409"/>
    </row>
    <row r="13" spans="1:6" ht="18" customHeight="1">
      <c r="A13" s="59">
        <v>1</v>
      </c>
      <c r="B13" s="407" t="s">
        <v>888</v>
      </c>
      <c r="C13" s="60" t="s">
        <v>880</v>
      </c>
      <c r="D13" s="59"/>
      <c r="E13" s="59"/>
      <c r="F13" s="407" t="s">
        <v>879</v>
      </c>
    </row>
    <row r="14" spans="1:6" ht="18" customHeight="1">
      <c r="A14" s="56">
        <v>2</v>
      </c>
      <c r="B14" s="408"/>
      <c r="C14" s="24" t="s">
        <v>885</v>
      </c>
      <c r="D14" s="56"/>
      <c r="E14" s="56"/>
      <c r="F14" s="408"/>
    </row>
    <row r="15" spans="1:6" ht="18" customHeight="1">
      <c r="A15" s="56">
        <v>3</v>
      </c>
      <c r="B15" s="408"/>
      <c r="C15" s="24" t="s">
        <v>881</v>
      </c>
      <c r="D15" s="56"/>
      <c r="E15" s="56"/>
      <c r="F15" s="408"/>
    </row>
    <row r="16" spans="1:6" ht="18" customHeight="1">
      <c r="A16" s="63">
        <v>4</v>
      </c>
      <c r="B16" s="409"/>
      <c r="C16" s="64" t="s">
        <v>886</v>
      </c>
      <c r="D16" s="63"/>
      <c r="E16" s="63"/>
      <c r="F16" s="409"/>
    </row>
    <row r="17" spans="1:6" ht="18" customHeight="1">
      <c r="A17" s="59">
        <v>1</v>
      </c>
      <c r="B17" s="407" t="s">
        <v>889</v>
      </c>
      <c r="C17" s="60" t="s">
        <v>880</v>
      </c>
      <c r="D17" s="59"/>
      <c r="E17" s="59"/>
      <c r="F17" s="407" t="s">
        <v>879</v>
      </c>
    </row>
    <row r="18" spans="1:6" ht="18" customHeight="1">
      <c r="A18" s="56">
        <v>2</v>
      </c>
      <c r="B18" s="408"/>
      <c r="C18" s="24" t="s">
        <v>885</v>
      </c>
      <c r="D18" s="56"/>
      <c r="E18" s="56"/>
      <c r="F18" s="408"/>
    </row>
    <row r="19" spans="1:6" ht="18" customHeight="1">
      <c r="A19" s="56">
        <v>3</v>
      </c>
      <c r="B19" s="408"/>
      <c r="C19" s="24" t="s">
        <v>881</v>
      </c>
      <c r="D19" s="56"/>
      <c r="E19" s="56"/>
      <c r="F19" s="408"/>
    </row>
    <row r="20" spans="1:6" ht="18" customHeight="1">
      <c r="A20" s="63">
        <v>4</v>
      </c>
      <c r="B20" s="409"/>
      <c r="C20" s="64" t="s">
        <v>886</v>
      </c>
      <c r="D20" s="63"/>
      <c r="E20" s="63"/>
      <c r="F20" s="409"/>
    </row>
    <row r="21" spans="1:6" ht="18" customHeight="1">
      <c r="A21" s="65"/>
      <c r="B21" s="66"/>
      <c r="C21" s="66"/>
      <c r="D21" s="65"/>
      <c r="E21" s="65"/>
      <c r="F21" s="65"/>
    </row>
  </sheetData>
  <mergeCells count="10">
    <mergeCell ref="B13:B16"/>
    <mergeCell ref="F13:F16"/>
    <mergeCell ref="B17:B20"/>
    <mergeCell ref="F17:F20"/>
    <mergeCell ref="B2:B4"/>
    <mergeCell ref="F2:F4"/>
    <mergeCell ref="B5:B8"/>
    <mergeCell ref="F5:F8"/>
    <mergeCell ref="B9:B12"/>
    <mergeCell ref="F9:F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I43"/>
  <sheetViews>
    <sheetView topLeftCell="A34" zoomScale="85" zoomScaleNormal="85" zoomScaleSheetLayoutView="85" workbookViewId="0">
      <selection activeCell="O44" sqref="O44"/>
    </sheetView>
  </sheetViews>
  <sheetFormatPr defaultRowHeight="18.75" customHeight="1"/>
  <cols>
    <col min="1" max="1" width="7" style="26" customWidth="1"/>
    <col min="2" max="2" width="40.625" style="70" customWidth="1"/>
    <col min="3" max="3" width="20.875" style="70" customWidth="1"/>
    <col min="4" max="4" width="24.625" style="70" customWidth="1"/>
    <col min="5" max="6" width="19.375" style="26" hidden="1" customWidth="1"/>
    <col min="7" max="7" width="24.875" style="26" customWidth="1"/>
    <col min="8" max="9" width="16.75" style="26" hidden="1" customWidth="1"/>
    <col min="10" max="16384" width="9" style="26"/>
  </cols>
  <sheetData>
    <row r="1" spans="1:9" ht="18.75" customHeight="1">
      <c r="B1" s="107" t="s">
        <v>986</v>
      </c>
    </row>
    <row r="2" spans="1:9" ht="18.75" customHeight="1">
      <c r="B2" s="107" t="s">
        <v>987</v>
      </c>
    </row>
    <row r="3" spans="1:9" ht="18.75" customHeight="1">
      <c r="B3" s="107" t="s">
        <v>988</v>
      </c>
    </row>
    <row r="4" spans="1:9" ht="18.75" customHeight="1">
      <c r="B4" s="107" t="s">
        <v>989</v>
      </c>
    </row>
    <row r="5" spans="1:9" ht="18.75" customHeight="1">
      <c r="B5" s="107" t="s">
        <v>990</v>
      </c>
    </row>
    <row r="6" spans="1:9" ht="18.75" customHeight="1">
      <c r="B6" s="107"/>
    </row>
    <row r="7" spans="1:9" ht="18.75" customHeight="1">
      <c r="A7" s="418" t="s">
        <v>901</v>
      </c>
      <c r="B7" s="418"/>
      <c r="C7" s="418"/>
      <c r="D7" s="418"/>
      <c r="E7" s="418"/>
      <c r="F7" s="418"/>
      <c r="G7" s="418"/>
      <c r="H7" s="418"/>
      <c r="I7" s="418"/>
    </row>
    <row r="9" spans="1:9" s="91" customFormat="1" ht="42" customHeight="1">
      <c r="A9" s="105" t="s">
        <v>0</v>
      </c>
      <c r="B9" s="105" t="s">
        <v>1</v>
      </c>
      <c r="C9" s="105" t="s">
        <v>871</v>
      </c>
      <c r="D9" s="106" t="s">
        <v>966</v>
      </c>
      <c r="E9" s="106" t="s">
        <v>948</v>
      </c>
      <c r="F9" s="106" t="s">
        <v>13</v>
      </c>
      <c r="G9" s="106" t="s">
        <v>967</v>
      </c>
      <c r="H9" s="106" t="s">
        <v>949</v>
      </c>
      <c r="I9" s="106" t="s">
        <v>900</v>
      </c>
    </row>
    <row r="10" spans="1:9" s="102" customFormat="1" ht="25.5" customHeight="1">
      <c r="A10" s="108" t="s">
        <v>858</v>
      </c>
      <c r="B10" s="109" t="s">
        <v>957</v>
      </c>
      <c r="C10" s="110"/>
      <c r="D10" s="111"/>
      <c r="E10" s="112"/>
      <c r="F10" s="112"/>
      <c r="G10" s="112"/>
      <c r="H10" s="112"/>
      <c r="I10" s="112"/>
    </row>
    <row r="11" spans="1:9" s="102" customFormat="1" ht="25.5" customHeight="1">
      <c r="A11" s="103" t="s">
        <v>859</v>
      </c>
      <c r="B11" s="124" t="s">
        <v>891</v>
      </c>
      <c r="C11" s="103"/>
      <c r="D11" s="125"/>
      <c r="E11" s="71"/>
      <c r="F11" s="71"/>
      <c r="G11" s="71"/>
      <c r="H11" s="112"/>
      <c r="I11" s="112"/>
    </row>
    <row r="12" spans="1:9" ht="33.75" customHeight="1">
      <c r="A12" s="25">
        <v>1</v>
      </c>
      <c r="B12" s="117" t="s">
        <v>950</v>
      </c>
      <c r="C12" s="416" t="s">
        <v>899</v>
      </c>
      <c r="D12" s="25" t="s">
        <v>991</v>
      </c>
      <c r="E12" s="25" t="s">
        <v>965</v>
      </c>
      <c r="F12" s="25" t="s">
        <v>892</v>
      </c>
      <c r="G12" s="27">
        <v>41742</v>
      </c>
      <c r="H12" s="69">
        <f>G12</f>
        <v>41742</v>
      </c>
      <c r="I12" s="69">
        <v>41743</v>
      </c>
    </row>
    <row r="13" spans="1:9" ht="25.5" customHeight="1">
      <c r="A13" s="25">
        <v>2</v>
      </c>
      <c r="B13" s="117" t="s">
        <v>951</v>
      </c>
      <c r="C13" s="416"/>
      <c r="D13" s="25" t="s">
        <v>968</v>
      </c>
      <c r="E13" s="25"/>
      <c r="F13" s="25"/>
      <c r="G13" s="27">
        <v>41743</v>
      </c>
      <c r="H13" s="67"/>
      <c r="I13" s="69"/>
    </row>
    <row r="14" spans="1:9" ht="25.5" customHeight="1">
      <c r="A14" s="25">
        <v>3</v>
      </c>
      <c r="B14" s="117" t="s">
        <v>952</v>
      </c>
      <c r="C14" s="416"/>
      <c r="D14" s="25" t="s">
        <v>992</v>
      </c>
      <c r="E14" s="25"/>
      <c r="F14" s="25"/>
      <c r="G14" s="27">
        <v>41742</v>
      </c>
      <c r="H14" s="67"/>
      <c r="I14" s="69"/>
    </row>
    <row r="15" spans="1:9" ht="25.5" customHeight="1">
      <c r="A15" s="25">
        <v>4</v>
      </c>
      <c r="B15" s="117" t="s">
        <v>953</v>
      </c>
      <c r="C15" s="416"/>
      <c r="D15" s="25" t="s">
        <v>893</v>
      </c>
      <c r="E15" s="25"/>
      <c r="F15" s="25"/>
      <c r="G15" s="27">
        <v>41743</v>
      </c>
      <c r="H15" s="67"/>
      <c r="I15" s="69"/>
    </row>
    <row r="16" spans="1:9" ht="33" customHeight="1">
      <c r="A16" s="25">
        <v>5</v>
      </c>
      <c r="B16" s="117" t="s">
        <v>956</v>
      </c>
      <c r="C16" s="416"/>
      <c r="D16" s="25" t="s">
        <v>993</v>
      </c>
      <c r="E16" s="25"/>
      <c r="F16" s="25"/>
      <c r="G16" s="27">
        <v>41742</v>
      </c>
      <c r="H16" s="67"/>
      <c r="I16" s="69"/>
    </row>
    <row r="17" spans="1:9" ht="25.5" customHeight="1">
      <c r="A17" s="25">
        <v>6</v>
      </c>
      <c r="B17" s="117" t="s">
        <v>958</v>
      </c>
      <c r="C17" s="416"/>
      <c r="D17" s="25" t="s">
        <v>894</v>
      </c>
      <c r="E17" s="25"/>
      <c r="F17" s="25"/>
      <c r="G17" s="27">
        <v>41743</v>
      </c>
      <c r="H17" s="67"/>
      <c r="I17" s="69"/>
    </row>
    <row r="18" spans="1:9" ht="25.5" customHeight="1">
      <c r="A18" s="25">
        <v>7</v>
      </c>
      <c r="B18" s="117" t="s">
        <v>954</v>
      </c>
      <c r="C18" s="416"/>
      <c r="D18" s="118" t="s">
        <v>994</v>
      </c>
      <c r="E18" s="25"/>
      <c r="F18" s="25"/>
      <c r="G18" s="27">
        <v>41742</v>
      </c>
      <c r="H18" s="67"/>
      <c r="I18" s="69"/>
    </row>
    <row r="19" spans="1:9" ht="25.5" customHeight="1">
      <c r="A19" s="25">
        <v>8</v>
      </c>
      <c r="B19" s="117" t="s">
        <v>955</v>
      </c>
      <c r="C19" s="416"/>
      <c r="D19" s="25" t="s">
        <v>969</v>
      </c>
      <c r="E19" s="25"/>
      <c r="F19" s="25"/>
      <c r="G19" s="27">
        <v>41743</v>
      </c>
      <c r="H19" s="67"/>
      <c r="I19" s="69"/>
    </row>
    <row r="20" spans="1:9" ht="25.5" customHeight="1">
      <c r="A20" s="25">
        <v>9</v>
      </c>
      <c r="B20" s="117" t="s">
        <v>959</v>
      </c>
      <c r="C20" s="416"/>
      <c r="D20" s="118" t="s">
        <v>995</v>
      </c>
      <c r="E20" s="25"/>
      <c r="F20" s="25"/>
      <c r="G20" s="27">
        <v>41742</v>
      </c>
      <c r="H20" s="67"/>
      <c r="I20" s="69"/>
    </row>
    <row r="21" spans="1:9" ht="25.5" customHeight="1">
      <c r="A21" s="25">
        <v>10</v>
      </c>
      <c r="B21" s="117" t="s">
        <v>960</v>
      </c>
      <c r="C21" s="416"/>
      <c r="D21" s="25" t="s">
        <v>895</v>
      </c>
      <c r="E21" s="25"/>
      <c r="F21" s="25"/>
      <c r="G21" s="27">
        <v>41743</v>
      </c>
      <c r="H21" s="67"/>
      <c r="I21" s="69"/>
    </row>
    <row r="22" spans="1:9" ht="34.5" customHeight="1">
      <c r="A22" s="25">
        <v>11</v>
      </c>
      <c r="B22" s="117" t="s">
        <v>962</v>
      </c>
      <c r="C22" s="416"/>
      <c r="D22" s="25" t="s">
        <v>996</v>
      </c>
      <c r="E22" s="25"/>
      <c r="F22" s="25"/>
      <c r="G22" s="27">
        <v>41749</v>
      </c>
      <c r="H22" s="67"/>
      <c r="I22" s="69"/>
    </row>
    <row r="23" spans="1:9" ht="25.5" customHeight="1">
      <c r="A23" s="25">
        <v>12</v>
      </c>
      <c r="B23" s="117" t="s">
        <v>963</v>
      </c>
      <c r="C23" s="416"/>
      <c r="D23" s="25" t="s">
        <v>970</v>
      </c>
      <c r="E23" s="25"/>
      <c r="F23" s="25"/>
      <c r="G23" s="27">
        <v>41749</v>
      </c>
      <c r="H23" s="67"/>
      <c r="I23" s="69"/>
    </row>
    <row r="24" spans="1:9" ht="25.5" customHeight="1">
      <c r="A24" s="25">
        <v>13</v>
      </c>
      <c r="B24" s="117" t="s">
        <v>961</v>
      </c>
      <c r="C24" s="416"/>
      <c r="D24" s="25" t="s">
        <v>997</v>
      </c>
      <c r="E24" s="25"/>
      <c r="F24" s="25"/>
      <c r="G24" s="27">
        <v>41749</v>
      </c>
      <c r="H24" s="67"/>
      <c r="I24" s="69"/>
    </row>
    <row r="25" spans="1:9" ht="25.5" customHeight="1">
      <c r="A25" s="119">
        <v>14</v>
      </c>
      <c r="B25" s="120" t="s">
        <v>964</v>
      </c>
      <c r="C25" s="417"/>
      <c r="D25" s="119" t="s">
        <v>892</v>
      </c>
      <c r="E25" s="119"/>
      <c r="F25" s="119"/>
      <c r="G25" s="121">
        <v>41749</v>
      </c>
      <c r="H25" s="67"/>
      <c r="I25" s="69"/>
    </row>
    <row r="26" spans="1:9" ht="25.5" customHeight="1">
      <c r="A26" s="126" t="s">
        <v>1003</v>
      </c>
      <c r="B26" s="122" t="s">
        <v>890</v>
      </c>
      <c r="C26" s="123"/>
      <c r="D26" s="115"/>
      <c r="E26" s="115"/>
      <c r="F26" s="115"/>
      <c r="G26" s="116"/>
      <c r="H26" s="67"/>
      <c r="I26" s="69"/>
    </row>
    <row r="27" spans="1:9" ht="32.25" customHeight="1">
      <c r="A27" s="25">
        <v>1</v>
      </c>
      <c r="B27" s="117" t="s">
        <v>975</v>
      </c>
      <c r="C27" s="413" t="s">
        <v>899</v>
      </c>
      <c r="D27" s="25" t="s">
        <v>998</v>
      </c>
      <c r="E27" s="25" t="s">
        <v>965</v>
      </c>
      <c r="F27" s="25" t="s">
        <v>892</v>
      </c>
      <c r="G27" s="27">
        <v>41746</v>
      </c>
      <c r="H27" s="69">
        <f>G27</f>
        <v>41746</v>
      </c>
      <c r="I27" s="69">
        <v>41743</v>
      </c>
    </row>
    <row r="28" spans="1:9" ht="25.5" customHeight="1">
      <c r="A28" s="25">
        <v>2</v>
      </c>
      <c r="B28" s="117" t="s">
        <v>951</v>
      </c>
      <c r="C28" s="414"/>
      <c r="D28" s="25" t="s">
        <v>972</v>
      </c>
      <c r="E28" s="25"/>
      <c r="F28" s="25"/>
      <c r="G28" s="27">
        <v>41747</v>
      </c>
      <c r="H28" s="67"/>
      <c r="I28" s="69"/>
    </row>
    <row r="29" spans="1:9" ht="25.5" customHeight="1">
      <c r="A29" s="25">
        <v>3</v>
      </c>
      <c r="B29" s="117" t="s">
        <v>983</v>
      </c>
      <c r="C29" s="414"/>
      <c r="D29" s="25" t="s">
        <v>999</v>
      </c>
      <c r="E29" s="25"/>
      <c r="F29" s="25"/>
      <c r="G29" s="27">
        <v>41746</v>
      </c>
      <c r="H29" s="67"/>
      <c r="I29" s="69"/>
    </row>
    <row r="30" spans="1:9" ht="25.5" customHeight="1">
      <c r="A30" s="25">
        <v>4</v>
      </c>
      <c r="B30" s="117" t="s">
        <v>984</v>
      </c>
      <c r="C30" s="414"/>
      <c r="D30" s="25" t="s">
        <v>985</v>
      </c>
      <c r="E30" s="25"/>
      <c r="F30" s="25"/>
      <c r="G30" s="27">
        <v>41747</v>
      </c>
      <c r="H30" s="67"/>
      <c r="I30" s="69"/>
    </row>
    <row r="31" spans="1:9" ht="25.5" customHeight="1">
      <c r="A31" s="25">
        <v>3</v>
      </c>
      <c r="B31" s="117" t="s">
        <v>976</v>
      </c>
      <c r="C31" s="414"/>
      <c r="D31" s="25" t="s">
        <v>1000</v>
      </c>
      <c r="E31" s="25"/>
      <c r="F31" s="25"/>
      <c r="G31" s="27">
        <v>41746</v>
      </c>
      <c r="H31" s="67"/>
      <c r="I31" s="69"/>
    </row>
    <row r="32" spans="1:9" ht="25.5" customHeight="1">
      <c r="A32" s="25">
        <v>4</v>
      </c>
      <c r="B32" s="117" t="s">
        <v>977</v>
      </c>
      <c r="C32" s="414"/>
      <c r="D32" s="25" t="s">
        <v>896</v>
      </c>
      <c r="E32" s="25"/>
      <c r="F32" s="25"/>
      <c r="G32" s="27">
        <v>41747</v>
      </c>
      <c r="H32" s="67"/>
      <c r="I32" s="69"/>
    </row>
    <row r="33" spans="1:9" ht="32.25" customHeight="1">
      <c r="A33" s="25">
        <v>5</v>
      </c>
      <c r="B33" s="117" t="s">
        <v>978</v>
      </c>
      <c r="C33" s="414"/>
      <c r="D33" s="25" t="s">
        <v>1001</v>
      </c>
      <c r="E33" s="25"/>
      <c r="F33" s="25"/>
      <c r="G33" s="27">
        <v>41746</v>
      </c>
      <c r="H33" s="67"/>
      <c r="I33" s="69"/>
    </row>
    <row r="34" spans="1:9" ht="25.5" customHeight="1">
      <c r="A34" s="25">
        <v>6</v>
      </c>
      <c r="B34" s="117" t="s">
        <v>958</v>
      </c>
      <c r="C34" s="414"/>
      <c r="D34" s="25" t="s">
        <v>897</v>
      </c>
      <c r="E34" s="25"/>
      <c r="F34" s="25"/>
      <c r="G34" s="27">
        <v>41747</v>
      </c>
      <c r="H34" s="67"/>
      <c r="I34" s="69"/>
    </row>
    <row r="35" spans="1:9" ht="25.5" customHeight="1">
      <c r="A35" s="25">
        <v>7</v>
      </c>
      <c r="B35" s="117" t="s">
        <v>979</v>
      </c>
      <c r="C35" s="414"/>
      <c r="D35" s="118" t="s">
        <v>1002</v>
      </c>
      <c r="E35" s="25"/>
      <c r="F35" s="25"/>
      <c r="G35" s="27">
        <v>41746</v>
      </c>
      <c r="H35" s="67"/>
      <c r="I35" s="69"/>
    </row>
    <row r="36" spans="1:9" ht="25.5" customHeight="1">
      <c r="A36" s="25">
        <v>8</v>
      </c>
      <c r="B36" s="117" t="s">
        <v>980</v>
      </c>
      <c r="C36" s="414"/>
      <c r="D36" s="25" t="s">
        <v>973</v>
      </c>
      <c r="E36" s="25"/>
      <c r="F36" s="25"/>
      <c r="G36" s="27">
        <v>41747</v>
      </c>
      <c r="H36" s="67"/>
      <c r="I36" s="69"/>
    </row>
    <row r="37" spans="1:9" ht="25.5" customHeight="1">
      <c r="A37" s="25">
        <v>9</v>
      </c>
      <c r="B37" s="117" t="s">
        <v>982</v>
      </c>
      <c r="C37" s="414"/>
      <c r="D37" s="118" t="s">
        <v>998</v>
      </c>
      <c r="E37" s="25"/>
      <c r="F37" s="25"/>
      <c r="G37" s="27">
        <v>41746</v>
      </c>
      <c r="H37" s="67"/>
      <c r="I37" s="69"/>
    </row>
    <row r="38" spans="1:9" ht="25.5" customHeight="1">
      <c r="A38" s="119">
        <v>10</v>
      </c>
      <c r="B38" s="120" t="s">
        <v>981</v>
      </c>
      <c r="C38" s="415"/>
      <c r="D38" s="119" t="s">
        <v>898</v>
      </c>
      <c r="E38" s="119"/>
      <c r="F38" s="119"/>
      <c r="G38" s="121">
        <v>41747</v>
      </c>
      <c r="H38" s="67"/>
      <c r="I38" s="69"/>
    </row>
    <row r="39" spans="1:9" ht="30.75" customHeight="1">
      <c r="A39" s="67">
        <v>11</v>
      </c>
      <c r="B39" s="96" t="s">
        <v>1052</v>
      </c>
      <c r="C39" s="113"/>
      <c r="D39" s="67" t="s">
        <v>974</v>
      </c>
      <c r="E39" s="67"/>
      <c r="F39" s="67"/>
      <c r="G39" s="69">
        <v>41749</v>
      </c>
      <c r="H39" s="67"/>
      <c r="I39" s="69"/>
    </row>
    <row r="40" spans="1:9" ht="30.75" customHeight="1">
      <c r="A40" s="67">
        <v>12</v>
      </c>
      <c r="B40" s="96" t="s">
        <v>1053</v>
      </c>
      <c r="C40" s="113"/>
      <c r="D40" s="67" t="s">
        <v>970</v>
      </c>
      <c r="E40" s="67"/>
      <c r="F40" s="67"/>
      <c r="G40" s="69">
        <v>41749</v>
      </c>
      <c r="H40" s="67"/>
      <c r="I40" s="69"/>
    </row>
    <row r="41" spans="1:9" ht="30.75" customHeight="1">
      <c r="A41" s="67">
        <v>13</v>
      </c>
      <c r="B41" s="96" t="s">
        <v>1054</v>
      </c>
      <c r="C41" s="113"/>
      <c r="D41" s="67" t="s">
        <v>971</v>
      </c>
      <c r="E41" s="67"/>
      <c r="F41" s="67"/>
      <c r="G41" s="69">
        <v>41749</v>
      </c>
      <c r="H41" s="67"/>
      <c r="I41" s="69"/>
    </row>
    <row r="42" spans="1:9" ht="30.75" customHeight="1">
      <c r="A42" s="67">
        <v>14</v>
      </c>
      <c r="B42" s="96" t="s">
        <v>1055</v>
      </c>
      <c r="C42" s="114"/>
      <c r="D42" s="67" t="s">
        <v>892</v>
      </c>
      <c r="E42" s="67"/>
      <c r="F42" s="67"/>
      <c r="G42" s="69">
        <v>41749</v>
      </c>
      <c r="H42" s="67"/>
      <c r="I42" s="69"/>
    </row>
    <row r="43" spans="1:9" s="128" customFormat="1" ht="18.75" customHeight="1">
      <c r="A43" s="128" t="s">
        <v>915</v>
      </c>
      <c r="B43" s="129" t="s">
        <v>890</v>
      </c>
      <c r="C43" s="129"/>
      <c r="D43" s="129"/>
    </row>
  </sheetData>
  <mergeCells count="3">
    <mergeCell ref="C27:C38"/>
    <mergeCell ref="C12:C25"/>
    <mergeCell ref="A7:I7"/>
  </mergeCells>
  <pageMargins left="0.65" right="0.32" top="0.75" bottom="0.75" header="0.3" footer="0.3"/>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D21"/>
  <sheetViews>
    <sheetView zoomScale="85" zoomScaleNormal="85" workbookViewId="0">
      <selection activeCell="F12" sqref="F12"/>
    </sheetView>
  </sheetViews>
  <sheetFormatPr defaultColWidth="9.125" defaultRowHeight="15.75"/>
  <cols>
    <col min="1" max="1" width="9.125" style="26"/>
    <col min="2" max="2" width="29.875" style="93" customWidth="1"/>
    <col min="3" max="3" width="48.625" style="70" customWidth="1"/>
    <col min="4" max="4" width="54.75" style="94" customWidth="1"/>
    <col min="5" max="5" width="9.125" style="26"/>
    <col min="6" max="7" width="9.125" style="26" customWidth="1"/>
    <col min="8" max="16384" width="9.125" style="26"/>
  </cols>
  <sheetData>
    <row r="1" spans="1:4">
      <c r="A1" s="92"/>
    </row>
    <row r="4" spans="1:4">
      <c r="B4" s="95" t="s">
        <v>15</v>
      </c>
      <c r="C4" s="68" t="s">
        <v>16</v>
      </c>
      <c r="D4" s="96"/>
    </row>
    <row r="5" spans="1:4">
      <c r="B5" s="420" t="s">
        <v>17</v>
      </c>
      <c r="C5" s="68" t="s">
        <v>18</v>
      </c>
      <c r="D5" s="96"/>
    </row>
    <row r="6" spans="1:4">
      <c r="B6" s="422"/>
      <c r="C6" s="68" t="s">
        <v>695</v>
      </c>
      <c r="D6" s="96" t="s">
        <v>696</v>
      </c>
    </row>
    <row r="7" spans="1:4">
      <c r="B7" s="422"/>
      <c r="C7" s="68" t="s">
        <v>702</v>
      </c>
      <c r="D7" s="96" t="s">
        <v>703</v>
      </c>
    </row>
    <row r="8" spans="1:4">
      <c r="B8" s="421"/>
      <c r="C8" s="68" t="s">
        <v>704</v>
      </c>
      <c r="D8" s="96" t="s">
        <v>705</v>
      </c>
    </row>
    <row r="9" spans="1:4">
      <c r="B9" s="95" t="s">
        <v>20</v>
      </c>
      <c r="C9" s="68" t="s">
        <v>19</v>
      </c>
      <c r="D9" s="96"/>
    </row>
    <row r="10" spans="1:4">
      <c r="B10" s="95" t="s">
        <v>21</v>
      </c>
      <c r="C10" s="68" t="s">
        <v>22</v>
      </c>
      <c r="D10" s="96"/>
    </row>
    <row r="11" spans="1:4">
      <c r="B11" s="420" t="s">
        <v>23</v>
      </c>
      <c r="C11" s="68" t="s">
        <v>24</v>
      </c>
      <c r="D11" s="96"/>
    </row>
    <row r="12" spans="1:4">
      <c r="B12" s="421"/>
      <c r="C12" s="68" t="s">
        <v>701</v>
      </c>
      <c r="D12" s="96" t="s">
        <v>39</v>
      </c>
    </row>
    <row r="13" spans="1:4">
      <c r="B13" s="95" t="s">
        <v>25</v>
      </c>
      <c r="C13" s="68" t="s">
        <v>26</v>
      </c>
      <c r="D13" s="96"/>
    </row>
    <row r="14" spans="1:4">
      <c r="B14" s="95" t="s">
        <v>28</v>
      </c>
      <c r="C14" s="68" t="s">
        <v>27</v>
      </c>
      <c r="D14" s="96"/>
    </row>
    <row r="15" spans="1:4">
      <c r="B15" s="95" t="s">
        <v>29</v>
      </c>
      <c r="C15" s="68" t="s">
        <v>30</v>
      </c>
      <c r="D15" s="96"/>
    </row>
    <row r="16" spans="1:4">
      <c r="B16" s="419" t="s">
        <v>686</v>
      </c>
      <c r="C16" s="68" t="s">
        <v>687</v>
      </c>
      <c r="D16" s="96" t="s">
        <v>688</v>
      </c>
    </row>
    <row r="17" spans="2:4" ht="31.5">
      <c r="B17" s="419"/>
      <c r="C17" s="68" t="s">
        <v>689</v>
      </c>
      <c r="D17" s="96" t="s">
        <v>690</v>
      </c>
    </row>
    <row r="18" spans="2:4">
      <c r="B18" s="419"/>
      <c r="C18" s="68" t="s">
        <v>691</v>
      </c>
      <c r="D18" s="96" t="s">
        <v>692</v>
      </c>
    </row>
    <row r="19" spans="2:4" ht="31.5">
      <c r="B19" s="419"/>
      <c r="C19" s="68" t="s">
        <v>693</v>
      </c>
      <c r="D19" s="96" t="s">
        <v>694</v>
      </c>
    </row>
    <row r="20" spans="2:4">
      <c r="B20" s="419" t="s">
        <v>697</v>
      </c>
      <c r="C20" s="68" t="s">
        <v>698</v>
      </c>
      <c r="D20" s="96" t="s">
        <v>699</v>
      </c>
    </row>
    <row r="21" spans="2:4">
      <c r="B21" s="419"/>
      <c r="C21" s="68" t="s">
        <v>700</v>
      </c>
      <c r="D21" s="96" t="s">
        <v>68</v>
      </c>
    </row>
  </sheetData>
  <mergeCells count="4">
    <mergeCell ref="B16:B19"/>
    <mergeCell ref="B20:B21"/>
    <mergeCell ref="B11:B12"/>
    <mergeCell ref="B5:B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D64"/>
  <sheetViews>
    <sheetView topLeftCell="A33" workbookViewId="0">
      <selection activeCell="F12" sqref="F12"/>
    </sheetView>
  </sheetViews>
  <sheetFormatPr defaultColWidth="32.125" defaultRowHeight="15"/>
  <cols>
    <col min="1" max="1" width="7" style="5" customWidth="1"/>
    <col min="2" max="2" width="51.25" style="72" customWidth="1"/>
    <col min="3" max="4" width="35.75" style="7" customWidth="1"/>
    <col min="5" max="16384" width="32.125" style="5"/>
  </cols>
  <sheetData>
    <row r="2" spans="1:4">
      <c r="A2" s="428" t="s">
        <v>826</v>
      </c>
      <c r="B2" s="428"/>
      <c r="C2" s="428"/>
      <c r="D2" s="428"/>
    </row>
    <row r="3" spans="1:4">
      <c r="A3" s="424" t="s">
        <v>0</v>
      </c>
      <c r="B3" s="425" t="s">
        <v>31</v>
      </c>
      <c r="C3" s="423" t="s">
        <v>706</v>
      </c>
      <c r="D3" s="423"/>
    </row>
    <row r="4" spans="1:4">
      <c r="A4" s="424"/>
      <c r="B4" s="426"/>
      <c r="C4" s="16" t="s">
        <v>707</v>
      </c>
      <c r="D4" s="16" t="s">
        <v>708</v>
      </c>
    </row>
    <row r="5" spans="1:4">
      <c r="A5" s="8">
        <v>1</v>
      </c>
      <c r="B5" s="73" t="s">
        <v>709</v>
      </c>
      <c r="C5" s="9" t="s">
        <v>710</v>
      </c>
      <c r="D5" s="9"/>
    </row>
    <row r="6" spans="1:4">
      <c r="A6" s="10">
        <v>2</v>
      </c>
      <c r="B6" s="74" t="s">
        <v>711</v>
      </c>
      <c r="C6" s="11" t="s">
        <v>712</v>
      </c>
      <c r="D6" s="11" t="s">
        <v>713</v>
      </c>
    </row>
    <row r="7" spans="1:4" ht="30">
      <c r="A7" s="10">
        <v>3</v>
      </c>
      <c r="B7" s="74" t="s">
        <v>714</v>
      </c>
      <c r="C7" s="11" t="s">
        <v>715</v>
      </c>
      <c r="D7" s="11"/>
    </row>
    <row r="8" spans="1:4" ht="30">
      <c r="A8" s="10">
        <v>4</v>
      </c>
      <c r="B8" s="74" t="s">
        <v>716</v>
      </c>
      <c r="C8" s="11" t="s">
        <v>717</v>
      </c>
      <c r="D8" s="11" t="s">
        <v>718</v>
      </c>
    </row>
    <row r="9" spans="1:4">
      <c r="A9" s="10">
        <v>5</v>
      </c>
      <c r="B9" s="74" t="s">
        <v>719</v>
      </c>
      <c r="C9" s="11" t="s">
        <v>720</v>
      </c>
      <c r="D9" s="11" t="s">
        <v>721</v>
      </c>
    </row>
    <row r="10" spans="1:4" ht="30">
      <c r="A10" s="10">
        <v>6</v>
      </c>
      <c r="B10" s="74" t="s">
        <v>722</v>
      </c>
      <c r="C10" s="11"/>
      <c r="D10" s="11" t="s">
        <v>723</v>
      </c>
    </row>
    <row r="11" spans="1:4">
      <c r="A11" s="10">
        <v>7</v>
      </c>
      <c r="B11" s="74" t="s">
        <v>724</v>
      </c>
      <c r="C11" s="11"/>
      <c r="D11" s="11" t="s">
        <v>725</v>
      </c>
    </row>
    <row r="12" spans="1:4">
      <c r="A12" s="10">
        <v>8</v>
      </c>
      <c r="B12" s="74" t="s">
        <v>726</v>
      </c>
      <c r="C12" s="11" t="s">
        <v>727</v>
      </c>
      <c r="D12" s="11" t="s">
        <v>728</v>
      </c>
    </row>
    <row r="13" spans="1:4">
      <c r="A13" s="10">
        <v>9</v>
      </c>
      <c r="B13" s="74" t="s">
        <v>729</v>
      </c>
      <c r="C13" s="11" t="s">
        <v>730</v>
      </c>
      <c r="D13" s="11"/>
    </row>
    <row r="14" spans="1:4">
      <c r="A14" s="10">
        <v>10</v>
      </c>
      <c r="B14" s="74" t="s">
        <v>731</v>
      </c>
      <c r="C14" s="11" t="s">
        <v>732</v>
      </c>
      <c r="D14" s="11"/>
    </row>
    <row r="15" spans="1:4">
      <c r="A15" s="10">
        <v>11</v>
      </c>
      <c r="B15" s="74" t="s">
        <v>733</v>
      </c>
      <c r="C15" s="11" t="s">
        <v>734</v>
      </c>
      <c r="D15" s="11"/>
    </row>
    <row r="16" spans="1:4">
      <c r="A16" s="10">
        <v>12</v>
      </c>
      <c r="B16" s="74" t="s">
        <v>735</v>
      </c>
      <c r="C16" s="11" t="s">
        <v>736</v>
      </c>
      <c r="D16" s="11"/>
    </row>
    <row r="17" spans="1:4">
      <c r="A17" s="10">
        <v>13</v>
      </c>
      <c r="B17" s="74" t="s">
        <v>737</v>
      </c>
      <c r="C17" s="11" t="s">
        <v>301</v>
      </c>
      <c r="D17" s="11"/>
    </row>
    <row r="18" spans="1:4">
      <c r="A18" s="10">
        <v>14</v>
      </c>
      <c r="B18" s="74" t="s">
        <v>738</v>
      </c>
      <c r="C18" s="11" t="s">
        <v>739</v>
      </c>
      <c r="D18" s="11"/>
    </row>
    <row r="19" spans="1:4">
      <c r="A19" s="10">
        <v>15</v>
      </c>
      <c r="B19" s="74" t="s">
        <v>740</v>
      </c>
      <c r="C19" s="11" t="s">
        <v>741</v>
      </c>
      <c r="D19" s="11"/>
    </row>
    <row r="20" spans="1:4" ht="30">
      <c r="A20" s="10">
        <v>16</v>
      </c>
      <c r="B20" s="74" t="s">
        <v>742</v>
      </c>
      <c r="C20" s="11" t="s">
        <v>743</v>
      </c>
      <c r="D20" s="11" t="s">
        <v>744</v>
      </c>
    </row>
    <row r="21" spans="1:4">
      <c r="A21" s="10">
        <v>17</v>
      </c>
      <c r="B21" s="74" t="s">
        <v>745</v>
      </c>
      <c r="C21" s="11"/>
      <c r="D21" s="11" t="s">
        <v>746</v>
      </c>
    </row>
    <row r="22" spans="1:4">
      <c r="A22" s="10">
        <v>18</v>
      </c>
      <c r="B22" s="74" t="s">
        <v>747</v>
      </c>
      <c r="C22" s="11"/>
      <c r="D22" s="11" t="s">
        <v>748</v>
      </c>
    </row>
    <row r="23" spans="1:4" ht="30">
      <c r="A23" s="10">
        <v>19</v>
      </c>
      <c r="B23" s="74" t="s">
        <v>749</v>
      </c>
      <c r="C23" s="11" t="s">
        <v>750</v>
      </c>
      <c r="D23" s="11"/>
    </row>
    <row r="24" spans="1:4">
      <c r="A24" s="10">
        <v>20</v>
      </c>
      <c r="B24" s="74" t="s">
        <v>751</v>
      </c>
      <c r="C24" s="11" t="s">
        <v>752</v>
      </c>
      <c r="D24" s="11"/>
    </row>
    <row r="25" spans="1:4">
      <c r="A25" s="10">
        <v>21</v>
      </c>
      <c r="B25" s="74" t="s">
        <v>753</v>
      </c>
      <c r="C25" s="11" t="s">
        <v>754</v>
      </c>
      <c r="D25" s="11"/>
    </row>
    <row r="26" spans="1:4">
      <c r="A26" s="10">
        <v>22</v>
      </c>
      <c r="B26" s="77" t="s">
        <v>755</v>
      </c>
      <c r="C26" s="97" t="s">
        <v>18</v>
      </c>
      <c r="D26" s="11"/>
    </row>
    <row r="27" spans="1:4">
      <c r="A27" s="10">
        <v>23</v>
      </c>
      <c r="B27" s="74" t="s">
        <v>756</v>
      </c>
      <c r="C27" s="11" t="s">
        <v>757</v>
      </c>
      <c r="D27" s="11"/>
    </row>
    <row r="28" spans="1:4">
      <c r="A28" s="10">
        <v>24</v>
      </c>
      <c r="B28" s="74" t="s">
        <v>758</v>
      </c>
      <c r="C28" s="11"/>
      <c r="D28" s="11" t="s">
        <v>759</v>
      </c>
    </row>
    <row r="29" spans="1:4">
      <c r="A29" s="10">
        <v>25</v>
      </c>
      <c r="B29" s="74" t="s">
        <v>760</v>
      </c>
      <c r="C29" s="11" t="s">
        <v>761</v>
      </c>
      <c r="D29" s="11"/>
    </row>
    <row r="30" spans="1:4">
      <c r="A30" s="10">
        <v>26</v>
      </c>
      <c r="B30" s="74" t="s">
        <v>762</v>
      </c>
      <c r="C30" s="11" t="s">
        <v>763</v>
      </c>
      <c r="D30" s="11"/>
    </row>
    <row r="31" spans="1:4">
      <c r="A31" s="10">
        <v>27</v>
      </c>
      <c r="B31" s="74" t="s">
        <v>764</v>
      </c>
      <c r="C31" s="11" t="s">
        <v>765</v>
      </c>
      <c r="D31" s="11"/>
    </row>
    <row r="32" spans="1:4">
      <c r="A32" s="10">
        <v>28</v>
      </c>
      <c r="B32" s="74" t="s">
        <v>766</v>
      </c>
      <c r="C32" s="11" t="s">
        <v>767</v>
      </c>
      <c r="D32" s="11"/>
    </row>
    <row r="33" spans="1:4">
      <c r="A33" s="10">
        <v>29</v>
      </c>
      <c r="B33" s="74" t="s">
        <v>68</v>
      </c>
      <c r="C33" s="11" t="s">
        <v>768</v>
      </c>
      <c r="D33" s="11"/>
    </row>
    <row r="34" spans="1:4">
      <c r="A34" s="10">
        <v>30</v>
      </c>
      <c r="B34" s="74" t="s">
        <v>769</v>
      </c>
      <c r="C34" s="11" t="s">
        <v>770</v>
      </c>
      <c r="D34" s="11"/>
    </row>
    <row r="35" spans="1:4" ht="30">
      <c r="A35" s="10">
        <v>31</v>
      </c>
      <c r="B35" s="74" t="s">
        <v>771</v>
      </c>
      <c r="C35" s="11" t="s">
        <v>772</v>
      </c>
      <c r="D35" s="11"/>
    </row>
    <row r="36" spans="1:4" ht="30">
      <c r="A36" s="10">
        <v>32</v>
      </c>
      <c r="B36" s="74" t="s">
        <v>773</v>
      </c>
      <c r="C36" s="11" t="s">
        <v>774</v>
      </c>
      <c r="D36" s="11"/>
    </row>
    <row r="37" spans="1:4">
      <c r="A37" s="10">
        <v>33</v>
      </c>
      <c r="B37" s="74" t="s">
        <v>775</v>
      </c>
      <c r="C37" s="11" t="s">
        <v>774</v>
      </c>
      <c r="D37" s="11"/>
    </row>
    <row r="38" spans="1:4">
      <c r="A38" s="10">
        <v>34</v>
      </c>
      <c r="B38" s="74" t="s">
        <v>776</v>
      </c>
      <c r="C38" s="11" t="s">
        <v>777</v>
      </c>
      <c r="D38" s="11"/>
    </row>
    <row r="39" spans="1:4">
      <c r="A39" s="10">
        <v>35</v>
      </c>
      <c r="B39" s="74" t="s">
        <v>624</v>
      </c>
      <c r="C39" s="11" t="s">
        <v>778</v>
      </c>
      <c r="D39" s="11"/>
    </row>
    <row r="40" spans="1:4">
      <c r="A40" s="10">
        <v>36</v>
      </c>
      <c r="B40" s="74" t="s">
        <v>779</v>
      </c>
      <c r="C40" s="11" t="s">
        <v>780</v>
      </c>
      <c r="D40" s="11"/>
    </row>
    <row r="41" spans="1:4" ht="30">
      <c r="A41" s="10">
        <v>37</v>
      </c>
      <c r="B41" s="74" t="s">
        <v>781</v>
      </c>
      <c r="C41" s="11" t="s">
        <v>782</v>
      </c>
      <c r="D41" s="11"/>
    </row>
    <row r="42" spans="1:4">
      <c r="A42" s="10">
        <v>38</v>
      </c>
      <c r="B42" s="74" t="s">
        <v>783</v>
      </c>
      <c r="C42" s="11" t="s">
        <v>784</v>
      </c>
      <c r="D42" s="11"/>
    </row>
    <row r="43" spans="1:4">
      <c r="A43" s="10">
        <v>39</v>
      </c>
      <c r="B43" s="74" t="s">
        <v>785</v>
      </c>
      <c r="C43" s="11" t="s">
        <v>786</v>
      </c>
      <c r="D43" s="11"/>
    </row>
    <row r="44" spans="1:4">
      <c r="A44" s="10">
        <v>40</v>
      </c>
      <c r="B44" s="74" t="s">
        <v>787</v>
      </c>
      <c r="C44" s="11" t="s">
        <v>788</v>
      </c>
      <c r="D44" s="11"/>
    </row>
    <row r="45" spans="1:4">
      <c r="A45" s="10">
        <v>41</v>
      </c>
      <c r="B45" s="77" t="s">
        <v>789</v>
      </c>
      <c r="C45" s="11" t="s">
        <v>790</v>
      </c>
      <c r="D45" s="11"/>
    </row>
    <row r="46" spans="1:4">
      <c r="A46" s="10">
        <v>42</v>
      </c>
      <c r="B46" s="74" t="s">
        <v>791</v>
      </c>
      <c r="C46" s="11" t="s">
        <v>792</v>
      </c>
      <c r="D46" s="11"/>
    </row>
    <row r="47" spans="1:4">
      <c r="A47" s="10">
        <v>43</v>
      </c>
      <c r="B47" s="74" t="s">
        <v>793</v>
      </c>
      <c r="C47" s="11" t="s">
        <v>794</v>
      </c>
      <c r="D47" s="11"/>
    </row>
    <row r="48" spans="1:4" ht="30">
      <c r="A48" s="10">
        <v>44</v>
      </c>
      <c r="B48" s="74" t="s">
        <v>795</v>
      </c>
      <c r="C48" s="11" t="s">
        <v>796</v>
      </c>
      <c r="D48" s="11"/>
    </row>
    <row r="49" spans="1:4" ht="30">
      <c r="A49" s="10">
        <v>45</v>
      </c>
      <c r="B49" s="74" t="s">
        <v>797</v>
      </c>
      <c r="C49" s="11" t="s">
        <v>798</v>
      </c>
      <c r="D49" s="11"/>
    </row>
    <row r="50" spans="1:4" ht="30">
      <c r="A50" s="10">
        <v>46</v>
      </c>
      <c r="B50" s="74" t="s">
        <v>799</v>
      </c>
      <c r="C50" s="11" t="s">
        <v>800</v>
      </c>
      <c r="D50" s="11"/>
    </row>
    <row r="51" spans="1:4" ht="30">
      <c r="A51" s="10">
        <v>47</v>
      </c>
      <c r="B51" s="74" t="s">
        <v>801</v>
      </c>
      <c r="C51" s="11" t="s">
        <v>802</v>
      </c>
      <c r="D51" s="11"/>
    </row>
    <row r="52" spans="1:4">
      <c r="A52" s="10">
        <v>48</v>
      </c>
      <c r="B52" s="74" t="s">
        <v>803</v>
      </c>
      <c r="C52" s="11" t="s">
        <v>804</v>
      </c>
      <c r="D52" s="11"/>
    </row>
    <row r="53" spans="1:4" ht="30">
      <c r="A53" s="10">
        <v>49</v>
      </c>
      <c r="B53" s="74" t="s">
        <v>805</v>
      </c>
      <c r="C53" s="11" t="s">
        <v>806</v>
      </c>
      <c r="D53" s="11"/>
    </row>
    <row r="54" spans="1:4" ht="30">
      <c r="A54" s="10">
        <v>50</v>
      </c>
      <c r="B54" s="74" t="s">
        <v>807</v>
      </c>
      <c r="C54" s="11" t="s">
        <v>808</v>
      </c>
      <c r="D54" s="11"/>
    </row>
    <row r="55" spans="1:4">
      <c r="A55" s="10">
        <v>51</v>
      </c>
      <c r="B55" s="74" t="s">
        <v>809</v>
      </c>
      <c r="C55" s="11" t="s">
        <v>810</v>
      </c>
      <c r="D55" s="11"/>
    </row>
    <row r="56" spans="1:4" ht="30">
      <c r="A56" s="10">
        <v>52</v>
      </c>
      <c r="B56" s="74" t="s">
        <v>811</v>
      </c>
      <c r="C56" s="11"/>
      <c r="D56" s="11" t="s">
        <v>812</v>
      </c>
    </row>
    <row r="57" spans="1:4">
      <c r="A57" s="10">
        <v>53</v>
      </c>
      <c r="B57" s="74" t="s">
        <v>813</v>
      </c>
      <c r="C57" s="11" t="s">
        <v>814</v>
      </c>
      <c r="D57" s="11"/>
    </row>
    <row r="58" spans="1:4">
      <c r="A58" s="12">
        <v>54</v>
      </c>
      <c r="B58" s="75" t="s">
        <v>815</v>
      </c>
      <c r="C58" s="13"/>
      <c r="D58" s="13"/>
    </row>
    <row r="59" spans="1:4">
      <c r="A59" s="6"/>
      <c r="B59" s="427" t="s">
        <v>816</v>
      </c>
      <c r="C59" s="427"/>
      <c r="D59" s="427"/>
    </row>
    <row r="60" spans="1:4">
      <c r="A60" s="14">
        <v>1</v>
      </c>
      <c r="B60" s="76" t="s">
        <v>817</v>
      </c>
      <c r="C60" s="15" t="s">
        <v>818</v>
      </c>
      <c r="D60" s="15"/>
    </row>
    <row r="61" spans="1:4">
      <c r="A61" s="10">
        <v>2</v>
      </c>
      <c r="B61" s="74" t="s">
        <v>819</v>
      </c>
      <c r="C61" s="11" t="s">
        <v>820</v>
      </c>
      <c r="D61" s="11"/>
    </row>
    <row r="62" spans="1:4" ht="30">
      <c r="A62" s="10">
        <v>3</v>
      </c>
      <c r="B62" s="74" t="s">
        <v>821</v>
      </c>
      <c r="C62" s="11" t="s">
        <v>822</v>
      </c>
      <c r="D62" s="11"/>
    </row>
    <row r="63" spans="1:4" ht="30">
      <c r="A63" s="10">
        <v>4</v>
      </c>
      <c r="B63" s="74" t="s">
        <v>823</v>
      </c>
      <c r="C63" s="11" t="s">
        <v>824</v>
      </c>
      <c r="D63" s="11"/>
    </row>
    <row r="64" spans="1:4">
      <c r="A64" s="12">
        <v>5</v>
      </c>
      <c r="B64" s="75" t="s">
        <v>825</v>
      </c>
      <c r="C64" s="13"/>
      <c r="D64" s="13"/>
    </row>
  </sheetData>
  <mergeCells count="5">
    <mergeCell ref="C3:D3"/>
    <mergeCell ref="A3:A4"/>
    <mergeCell ref="B3:B4"/>
    <mergeCell ref="B59:D59"/>
    <mergeCell ref="A2:D2"/>
  </mergeCells>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B1:D23"/>
  <sheetViews>
    <sheetView workbookViewId="0">
      <selection activeCell="F12" sqref="F12"/>
    </sheetView>
  </sheetViews>
  <sheetFormatPr defaultColWidth="9.125" defaultRowHeight="30.75" customHeight="1"/>
  <cols>
    <col min="1" max="1" width="9.125" style="99"/>
    <col min="2" max="2" width="22.375" style="99" customWidth="1"/>
    <col min="3" max="3" width="56.625" style="101" customWidth="1"/>
    <col min="4" max="16384" width="9.125" style="99"/>
  </cols>
  <sheetData>
    <row r="1" spans="2:4" ht="30.75" customHeight="1">
      <c r="B1" s="98" t="s">
        <v>32</v>
      </c>
      <c r="C1" s="98" t="s">
        <v>33</v>
      </c>
      <c r="D1" s="98" t="s">
        <v>34</v>
      </c>
    </row>
    <row r="2" spans="2:4" ht="30.75" customHeight="1">
      <c r="B2" s="429" t="s">
        <v>35</v>
      </c>
      <c r="C2" s="430"/>
      <c r="D2" s="431"/>
    </row>
    <row r="3" spans="2:4" ht="30.75" customHeight="1">
      <c r="B3" s="2" t="s">
        <v>36</v>
      </c>
      <c r="C3" s="2" t="s">
        <v>37</v>
      </c>
      <c r="D3" s="100" t="s">
        <v>38</v>
      </c>
    </row>
    <row r="4" spans="2:4" ht="30.75" customHeight="1">
      <c r="B4" s="3" t="s">
        <v>923</v>
      </c>
      <c r="C4" s="2" t="s">
        <v>39</v>
      </c>
      <c r="D4" s="100" t="s">
        <v>34</v>
      </c>
    </row>
    <row r="5" spans="2:4" ht="30.75" customHeight="1">
      <c r="B5" s="3" t="s">
        <v>924</v>
      </c>
      <c r="C5" s="2" t="s">
        <v>40</v>
      </c>
      <c r="D5" s="100" t="s">
        <v>38</v>
      </c>
    </row>
    <row r="6" spans="2:4" ht="30.75" customHeight="1">
      <c r="B6" s="2" t="s">
        <v>916</v>
      </c>
      <c r="C6" s="2" t="s">
        <v>41</v>
      </c>
      <c r="D6" s="2" t="s">
        <v>58</v>
      </c>
    </row>
    <row r="7" spans="2:4" ht="30.75" customHeight="1">
      <c r="B7" s="3" t="s">
        <v>925</v>
      </c>
      <c r="C7" s="2" t="s">
        <v>42</v>
      </c>
      <c r="D7" s="100" t="s">
        <v>38</v>
      </c>
    </row>
    <row r="8" spans="2:4" ht="30.75" customHeight="1">
      <c r="B8" s="3" t="s">
        <v>926</v>
      </c>
      <c r="C8" s="2" t="s">
        <v>43</v>
      </c>
      <c r="D8" s="100" t="s">
        <v>38</v>
      </c>
    </row>
    <row r="9" spans="2:4" ht="30.75" customHeight="1">
      <c r="B9" s="2" t="s">
        <v>917</v>
      </c>
      <c r="C9" s="2" t="s">
        <v>44</v>
      </c>
      <c r="D9" s="100" t="s">
        <v>38</v>
      </c>
    </row>
    <row r="10" spans="2:4" ht="30.75" customHeight="1">
      <c r="B10" s="3" t="s">
        <v>927</v>
      </c>
      <c r="C10" s="2" t="s">
        <v>45</v>
      </c>
      <c r="D10" s="100" t="s">
        <v>38</v>
      </c>
    </row>
    <row r="11" spans="2:4" ht="30.75" customHeight="1">
      <c r="B11" s="3" t="s">
        <v>928</v>
      </c>
      <c r="C11" s="2" t="s">
        <v>46</v>
      </c>
      <c r="D11" s="100" t="s">
        <v>38</v>
      </c>
    </row>
    <row r="12" spans="2:4" ht="30.75" customHeight="1">
      <c r="B12" s="3" t="s">
        <v>929</v>
      </c>
      <c r="C12" s="2" t="s">
        <v>47</v>
      </c>
      <c r="D12" s="100" t="s">
        <v>38</v>
      </c>
    </row>
    <row r="13" spans="2:4" ht="30.75" customHeight="1">
      <c r="B13" s="3" t="s">
        <v>930</v>
      </c>
      <c r="C13" s="2" t="s">
        <v>48</v>
      </c>
      <c r="D13" s="100" t="s">
        <v>38</v>
      </c>
    </row>
    <row r="14" spans="2:4" ht="30.75" customHeight="1">
      <c r="B14" s="3" t="s">
        <v>931</v>
      </c>
      <c r="C14" s="2" t="s">
        <v>49</v>
      </c>
      <c r="D14" s="2" t="s">
        <v>59</v>
      </c>
    </row>
    <row r="15" spans="2:4" ht="30.75" customHeight="1">
      <c r="B15" s="2" t="s">
        <v>918</v>
      </c>
      <c r="C15" s="2" t="s">
        <v>50</v>
      </c>
      <c r="D15" s="100" t="s">
        <v>38</v>
      </c>
    </row>
    <row r="16" spans="2:4" ht="30.75" customHeight="1">
      <c r="B16" s="2" t="s">
        <v>919</v>
      </c>
      <c r="C16" s="2" t="s">
        <v>51</v>
      </c>
      <c r="D16" s="100" t="s">
        <v>38</v>
      </c>
    </row>
    <row r="17" spans="2:4" ht="30.75" customHeight="1">
      <c r="B17" s="2" t="s">
        <v>920</v>
      </c>
      <c r="C17" s="2" t="s">
        <v>52</v>
      </c>
      <c r="D17" s="100" t="s">
        <v>53</v>
      </c>
    </row>
    <row r="18" spans="2:4" ht="30.75" customHeight="1">
      <c r="B18" s="2" t="s">
        <v>921</v>
      </c>
      <c r="C18" s="2" t="s">
        <v>54</v>
      </c>
      <c r="D18" s="100" t="s">
        <v>53</v>
      </c>
    </row>
    <row r="19" spans="2:4" ht="30.75" customHeight="1">
      <c r="B19" s="2" t="s">
        <v>922</v>
      </c>
      <c r="C19" s="2" t="s">
        <v>55</v>
      </c>
      <c r="D19" s="2" t="s">
        <v>60</v>
      </c>
    </row>
    <row r="20" spans="2:4" ht="30.75" customHeight="1">
      <c r="B20" s="100" t="s">
        <v>56</v>
      </c>
      <c r="C20" s="2" t="s">
        <v>57</v>
      </c>
      <c r="D20" s="2" t="s">
        <v>61</v>
      </c>
    </row>
    <row r="21" spans="2:4" ht="30.75" customHeight="1">
      <c r="B21" s="4"/>
      <c r="C21" s="4"/>
      <c r="D21" s="4"/>
    </row>
    <row r="22" spans="2:4" ht="30.75" customHeight="1">
      <c r="B22" s="4"/>
      <c r="C22" s="4"/>
      <c r="D22" s="4"/>
    </row>
    <row r="23" spans="2:4" ht="30.75" customHeight="1">
      <c r="B23" s="4"/>
      <c r="C23" s="4"/>
      <c r="D23" s="4"/>
    </row>
  </sheetData>
  <mergeCells count="1">
    <mergeCell ref="B2:D2"/>
  </mergeCells>
  <hyperlinks>
    <hyperlink ref="D3" r:id="rId1" display="http://p.kiemdinhxaydungvinhlong.com/p/Portals/0/Gioi thieu/van ban moi/word/TIEU CHUAN/TC nghiem thu/TCVN 4091-1985- Nghiem thu cong trinh xay dung.doc"/>
    <hyperlink ref="D4" r:id="rId2" display="http://p.kiemdinhxaydungvinhlong.com/p/Portals/0/Gioi thieu/van ban moi/word/TIEU CHUAN/TC nghiem thu/TCVN 4085-1985-Ket cau gach da-QP thi cong va nghiem thu.doc"/>
    <hyperlink ref="D5" r:id="rId3" display="http://p.kiemdinhxaydungvinhlong.com/p/Portals/0/Gioi thieu/van ban moi/word/TIEU CHUAN/TC nghiem thu/3TCVN 4085-1985-Ket cau gach da-QP thi cong va nghiem thu.doc"/>
    <hyperlink ref="D7" r:id="rId4" display="http://p.kiemdinhxaydungvinhlong.com/p/Portals/0/Gioi thieu/van ban moi/word/TIEU CHUAN/TC nghiem thu/5TCVN 4519-1988-He thong cap thoat nuoc trong va ngoai nha.doc"/>
    <hyperlink ref="D8" r:id="rId5" display="http://p.kiemdinhxaydungvinhlong.com/p/Portals/0/Gioi thieu/van ban moi/word/TIEU CHUAN/TC nghiem thu/6TCVN 5637-1991-QLCL xay lap cong trinh XD.doc"/>
    <hyperlink ref="D9" r:id="rId6" display="http://p.kiemdinhxaydungvinhlong.com/p/Portals/0/Gioi thieu/van ban moi/word/TIEU CHUAN/TC nghiem thu/21TCVN 5639-1991-Ng thu thiet bi da lap xong-Ng  tac co ban.doc"/>
    <hyperlink ref="D10" r:id="rId7" display="http://p.kiemdinhxaydungvinhlong.com/p/Portals/0/Gioi thieu/van ban moi/word/TIEU CHUAN/TC nghiem thu/7TCVN 5640-1991-Ban giao cong trinh xay dung.doc"/>
    <hyperlink ref="D11" r:id="rId8" display="http://p.kiemdinhxaydungvinhlong.com/p/Portals/0/Gioi thieu/van ban moi/word/TIEU CHUAN/TC nghiem thu/8TCVN 5641-1991- Be chua bang BTCT.doc"/>
    <hyperlink ref="D12" r:id="rId9" display="http://p.kiemdinhxaydungvinhlong.com/p/Portals/0/Gioi thieu/van ban moi/word/TIEU CHUAN/TC nghiem thu/9TCVN 5674-1992-Cong tac hoan thien trong xay dung.doc"/>
    <hyperlink ref="D13" r:id="rId10" display="http://p.kiemdinhxaydungvinhlong.com/p/Portals/0/Gioi thieu/van ban moi/word/TIEU CHUAN/TC nghiem thu/10TCVN 5718-1993-Mai va san BTCT trong CTXD.doc"/>
    <hyperlink ref="D15" r:id="rId11" display="http://p.kiemdinhxaydungvinhlong.com/p/Portals/0/Gioi thieu/van ban moi/word/TIEU CHUAN/TC nghiem thu/12TCXD 184-1997 Nha cao tang-Ct khao sat dia ky thuat.doc"/>
    <hyperlink ref="D16" r:id="rId12" display="http://p.kiemdinhxaydungvinhlong.com/p/Portals/0/Gioi thieu/van ban moi/word/TIEU CHUAN/TC nghiem thu/13TCVN 4055-1985 To chuc thi cong.doc"/>
    <hyperlink ref="D17" r:id="rId13" display="http://p.kiemdinhxaydungvinhlong.com/p/Portals/0/Gioi thieu/van ban moi/word/TIEU CHUAN/TC nghiem thu/14TCVN 4087-1985 Su dung may xay dung-Yeu cau chung.doc"/>
    <hyperlink ref="D18" r:id="rId14" display="http://p.kiemdinhxaydungvinhlong.com/p/Portals/0/Gioi thieu/van ban moi/word/TIEU CHUAN/TC nghiem thu/15TCVN 4252-1988 Quy trinh lap TKTCXD va TKTC.doc"/>
    <hyperlink ref="B20" r:id="rId15" display="http://p.kiemdinhxaydungvinhlong.com/p/Default.aspx?tabid=25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D223"/>
  <sheetViews>
    <sheetView topLeftCell="A94" workbookViewId="0">
      <selection activeCell="F12" sqref="F12"/>
    </sheetView>
  </sheetViews>
  <sheetFormatPr defaultColWidth="9.125" defaultRowHeight="15.75"/>
  <cols>
    <col min="1" max="1" width="19.875" style="87" customWidth="1"/>
    <col min="2" max="2" width="49.875" style="87" customWidth="1"/>
    <col min="3" max="3" width="19.375" style="88" customWidth="1"/>
    <col min="4" max="4" width="46.125" style="88" customWidth="1"/>
    <col min="5" max="16384" width="9.125" style="78"/>
  </cols>
  <sheetData>
    <row r="1" spans="1:4">
      <c r="A1" s="435" t="s">
        <v>62</v>
      </c>
      <c r="B1" s="435"/>
      <c r="C1" s="435" t="s">
        <v>63</v>
      </c>
      <c r="D1" s="435"/>
    </row>
    <row r="2" spans="1:4">
      <c r="A2" s="79" t="s">
        <v>902</v>
      </c>
      <c r="B2" s="79" t="s">
        <v>64</v>
      </c>
      <c r="C2" s="435" t="s">
        <v>65</v>
      </c>
      <c r="D2" s="435"/>
    </row>
    <row r="3" spans="1:4">
      <c r="A3" s="79" t="s">
        <v>903</v>
      </c>
      <c r="B3" s="79" t="s">
        <v>66</v>
      </c>
      <c r="C3" s="80" t="s">
        <v>67</v>
      </c>
      <c r="D3" s="80" t="s">
        <v>66</v>
      </c>
    </row>
    <row r="4" spans="1:4">
      <c r="A4" s="79" t="s">
        <v>904</v>
      </c>
      <c r="B4" s="79" t="s">
        <v>68</v>
      </c>
      <c r="C4" s="80" t="s">
        <v>685</v>
      </c>
      <c r="D4" s="80" t="s">
        <v>70</v>
      </c>
    </row>
    <row r="5" spans="1:4">
      <c r="A5" s="79" t="s">
        <v>905</v>
      </c>
      <c r="B5" s="433" t="s">
        <v>72</v>
      </c>
      <c r="C5" s="434" t="s">
        <v>73</v>
      </c>
      <c r="D5" s="434" t="s">
        <v>74</v>
      </c>
    </row>
    <row r="6" spans="1:4" ht="31.5">
      <c r="A6" s="79" t="s">
        <v>71</v>
      </c>
      <c r="B6" s="433"/>
      <c r="C6" s="434"/>
      <c r="D6" s="434"/>
    </row>
    <row r="7" spans="1:4" ht="31.5">
      <c r="A7" s="79" t="s">
        <v>906</v>
      </c>
      <c r="B7" s="81" t="s">
        <v>75</v>
      </c>
      <c r="C7" s="82" t="s">
        <v>76</v>
      </c>
      <c r="D7" s="82" t="s">
        <v>77</v>
      </c>
    </row>
    <row r="8" spans="1:4" ht="31.5">
      <c r="A8" s="79" t="s">
        <v>907</v>
      </c>
      <c r="B8" s="81" t="s">
        <v>78</v>
      </c>
      <c r="C8" s="82" t="s">
        <v>79</v>
      </c>
      <c r="D8" s="82" t="s">
        <v>80</v>
      </c>
    </row>
    <row r="9" spans="1:4" ht="31.5">
      <c r="A9" s="79" t="s">
        <v>908</v>
      </c>
      <c r="B9" s="81" t="s">
        <v>81</v>
      </c>
      <c r="C9" s="82" t="s">
        <v>82</v>
      </c>
      <c r="D9" s="82" t="s">
        <v>83</v>
      </c>
    </row>
    <row r="10" spans="1:4" ht="31.5">
      <c r="A10" s="79" t="s">
        <v>909</v>
      </c>
      <c r="B10" s="81" t="s">
        <v>84</v>
      </c>
      <c r="C10" s="82" t="s">
        <v>85</v>
      </c>
      <c r="D10" s="82" t="s">
        <v>86</v>
      </c>
    </row>
    <row r="11" spans="1:4" ht="31.5">
      <c r="A11" s="79" t="s">
        <v>910</v>
      </c>
      <c r="B11" s="81" t="s">
        <v>87</v>
      </c>
      <c r="C11" s="82" t="s">
        <v>88</v>
      </c>
      <c r="D11" s="82" t="s">
        <v>89</v>
      </c>
    </row>
    <row r="12" spans="1:4" ht="31.5">
      <c r="A12" s="79" t="s">
        <v>90</v>
      </c>
      <c r="B12" s="81" t="s">
        <v>91</v>
      </c>
      <c r="C12" s="82" t="s">
        <v>92</v>
      </c>
      <c r="D12" s="82" t="s">
        <v>93</v>
      </c>
    </row>
    <row r="13" spans="1:4" ht="31.5">
      <c r="A13" s="79" t="s">
        <v>94</v>
      </c>
      <c r="B13" s="81" t="s">
        <v>95</v>
      </c>
      <c r="C13" s="82" t="s">
        <v>96</v>
      </c>
      <c r="D13" s="82" t="s">
        <v>97</v>
      </c>
    </row>
    <row r="14" spans="1:4" ht="31.5">
      <c r="A14" s="79" t="s">
        <v>98</v>
      </c>
      <c r="B14" s="81" t="s">
        <v>99</v>
      </c>
      <c r="C14" s="82" t="s">
        <v>100</v>
      </c>
      <c r="D14" s="82" t="s">
        <v>101</v>
      </c>
    </row>
    <row r="15" spans="1:4" ht="31.5">
      <c r="A15" s="79" t="s">
        <v>102</v>
      </c>
      <c r="B15" s="79" t="s">
        <v>103</v>
      </c>
      <c r="C15" s="80" t="s">
        <v>104</v>
      </c>
      <c r="D15" s="80" t="s">
        <v>105</v>
      </c>
    </row>
    <row r="16" spans="1:4" ht="31.5">
      <c r="A16" s="79" t="s">
        <v>106</v>
      </c>
      <c r="B16" s="81" t="s">
        <v>107</v>
      </c>
      <c r="C16" s="82" t="s">
        <v>108</v>
      </c>
      <c r="D16" s="82" t="s">
        <v>109</v>
      </c>
    </row>
    <row r="17" spans="1:4" ht="31.5">
      <c r="A17" s="79" t="s">
        <v>110</v>
      </c>
      <c r="B17" s="81" t="s">
        <v>111</v>
      </c>
      <c r="C17" s="82" t="s">
        <v>112</v>
      </c>
      <c r="D17" s="82" t="s">
        <v>113</v>
      </c>
    </row>
    <row r="18" spans="1:4">
      <c r="A18" s="432" t="s">
        <v>114</v>
      </c>
      <c r="B18" s="432" t="s">
        <v>115</v>
      </c>
      <c r="C18" s="436" t="s">
        <v>116</v>
      </c>
      <c r="D18" s="436" t="s">
        <v>117</v>
      </c>
    </row>
    <row r="19" spans="1:4">
      <c r="A19" s="432"/>
      <c r="B19" s="432"/>
      <c r="C19" s="436"/>
      <c r="D19" s="436"/>
    </row>
    <row r="20" spans="1:4">
      <c r="A20" s="432" t="s">
        <v>118</v>
      </c>
      <c r="B20" s="432" t="s">
        <v>119</v>
      </c>
      <c r="C20" s="435" t="s">
        <v>65</v>
      </c>
      <c r="D20" s="435"/>
    </row>
    <row r="21" spans="1:4">
      <c r="A21" s="432"/>
      <c r="B21" s="432"/>
      <c r="C21" s="435"/>
      <c r="D21" s="435"/>
    </row>
    <row r="22" spans="1:4">
      <c r="A22" s="432" t="s">
        <v>120</v>
      </c>
      <c r="B22" s="432" t="s">
        <v>121</v>
      </c>
      <c r="C22" s="434" t="s">
        <v>122</v>
      </c>
      <c r="D22" s="436" t="s">
        <v>123</v>
      </c>
    </row>
    <row r="23" spans="1:4">
      <c r="A23" s="432"/>
      <c r="B23" s="432"/>
      <c r="C23" s="434"/>
      <c r="D23" s="436"/>
    </row>
    <row r="24" spans="1:4">
      <c r="A24" s="432" t="s">
        <v>124</v>
      </c>
      <c r="B24" s="432" t="s">
        <v>125</v>
      </c>
      <c r="C24" s="434" t="s">
        <v>126</v>
      </c>
      <c r="D24" s="436" t="s">
        <v>127</v>
      </c>
    </row>
    <row r="25" spans="1:4">
      <c r="A25" s="432"/>
      <c r="B25" s="432"/>
      <c r="C25" s="434"/>
      <c r="D25" s="436"/>
    </row>
    <row r="26" spans="1:4">
      <c r="A26" s="432" t="s">
        <v>128</v>
      </c>
      <c r="B26" s="432" t="s">
        <v>911</v>
      </c>
      <c r="C26" s="434" t="s">
        <v>129</v>
      </c>
      <c r="D26" s="436" t="s">
        <v>130</v>
      </c>
    </row>
    <row r="27" spans="1:4">
      <c r="A27" s="432"/>
      <c r="B27" s="432"/>
      <c r="C27" s="434"/>
      <c r="D27" s="436"/>
    </row>
    <row r="28" spans="1:4">
      <c r="A28" s="432" t="s">
        <v>131</v>
      </c>
      <c r="B28" s="432" t="s">
        <v>912</v>
      </c>
      <c r="C28" s="434" t="s">
        <v>132</v>
      </c>
      <c r="D28" s="436" t="s">
        <v>133</v>
      </c>
    </row>
    <row r="29" spans="1:4">
      <c r="A29" s="432"/>
      <c r="B29" s="432"/>
      <c r="C29" s="434"/>
      <c r="D29" s="436"/>
    </row>
    <row r="30" spans="1:4">
      <c r="A30" s="432" t="s">
        <v>134</v>
      </c>
      <c r="B30" s="432" t="s">
        <v>913</v>
      </c>
      <c r="C30" s="434" t="s">
        <v>135</v>
      </c>
      <c r="D30" s="436" t="s">
        <v>136</v>
      </c>
    </row>
    <row r="31" spans="1:4">
      <c r="A31" s="432"/>
      <c r="B31" s="432"/>
      <c r="C31" s="434"/>
      <c r="D31" s="436"/>
    </row>
    <row r="32" spans="1:4">
      <c r="A32" s="432" t="s">
        <v>137</v>
      </c>
      <c r="B32" s="432" t="s">
        <v>914</v>
      </c>
      <c r="C32" s="434" t="s">
        <v>138</v>
      </c>
      <c r="D32" s="436" t="s">
        <v>139</v>
      </c>
    </row>
    <row r="33" spans="1:4">
      <c r="A33" s="432"/>
      <c r="B33" s="432"/>
      <c r="C33" s="434"/>
      <c r="D33" s="436"/>
    </row>
    <row r="34" spans="1:4">
      <c r="A34" s="432" t="s">
        <v>140</v>
      </c>
      <c r="B34" s="432" t="s">
        <v>141</v>
      </c>
      <c r="C34" s="434" t="s">
        <v>142</v>
      </c>
      <c r="D34" s="436" t="s">
        <v>143</v>
      </c>
    </row>
    <row r="35" spans="1:4">
      <c r="A35" s="432"/>
      <c r="B35" s="432"/>
      <c r="C35" s="434"/>
      <c r="D35" s="436"/>
    </row>
    <row r="36" spans="1:4" ht="31.5">
      <c r="A36" s="79" t="s">
        <v>144</v>
      </c>
      <c r="B36" s="79" t="s">
        <v>145</v>
      </c>
      <c r="C36" s="80" t="s">
        <v>146</v>
      </c>
      <c r="D36" s="80" t="s">
        <v>147</v>
      </c>
    </row>
    <row r="37" spans="1:4">
      <c r="A37" s="79" t="s">
        <v>148</v>
      </c>
      <c r="B37" s="79" t="s">
        <v>149</v>
      </c>
      <c r="C37" s="80" t="s">
        <v>150</v>
      </c>
      <c r="D37" s="80" t="s">
        <v>151</v>
      </c>
    </row>
    <row r="38" spans="1:4" ht="31.5">
      <c r="A38" s="79" t="s">
        <v>152</v>
      </c>
      <c r="B38" s="79" t="s">
        <v>153</v>
      </c>
      <c r="C38" s="80" t="s">
        <v>154</v>
      </c>
      <c r="D38" s="80" t="s">
        <v>153</v>
      </c>
    </row>
    <row r="39" spans="1:4" ht="31.5">
      <c r="A39" s="79" t="s">
        <v>155</v>
      </c>
      <c r="B39" s="81" t="s">
        <v>156</v>
      </c>
      <c r="C39" s="82" t="s">
        <v>157</v>
      </c>
      <c r="D39" s="82" t="s">
        <v>158</v>
      </c>
    </row>
    <row r="40" spans="1:4" ht="31.5">
      <c r="A40" s="79" t="s">
        <v>159</v>
      </c>
      <c r="B40" s="79" t="s">
        <v>160</v>
      </c>
      <c r="C40" s="435" t="s">
        <v>65</v>
      </c>
      <c r="D40" s="435"/>
    </row>
    <row r="41" spans="1:4">
      <c r="A41" s="79" t="s">
        <v>161</v>
      </c>
      <c r="B41" s="79" t="s">
        <v>162</v>
      </c>
      <c r="C41" s="435" t="s">
        <v>65</v>
      </c>
      <c r="D41" s="435"/>
    </row>
    <row r="42" spans="1:4">
      <c r="A42" s="79" t="s">
        <v>163</v>
      </c>
      <c r="B42" s="79" t="s">
        <v>164</v>
      </c>
      <c r="C42" s="435" t="s">
        <v>65</v>
      </c>
      <c r="D42" s="435"/>
    </row>
    <row r="43" spans="1:4" ht="31.5">
      <c r="A43" s="79" t="s">
        <v>165</v>
      </c>
      <c r="B43" s="81" t="s">
        <v>166</v>
      </c>
      <c r="C43" s="435" t="s">
        <v>65</v>
      </c>
      <c r="D43" s="435"/>
    </row>
    <row r="44" spans="1:4">
      <c r="A44" s="79" t="s">
        <v>167</v>
      </c>
      <c r="B44" s="79" t="s">
        <v>168</v>
      </c>
      <c r="C44" s="435" t="s">
        <v>65</v>
      </c>
      <c r="D44" s="435"/>
    </row>
    <row r="45" spans="1:4" ht="47.25">
      <c r="A45" s="79" t="s">
        <v>169</v>
      </c>
      <c r="B45" s="81" t="s">
        <v>170</v>
      </c>
      <c r="C45" s="82" t="s">
        <v>171</v>
      </c>
      <c r="D45" s="82" t="s">
        <v>172</v>
      </c>
    </row>
    <row r="46" spans="1:4" ht="31.5">
      <c r="A46" s="79" t="s">
        <v>173</v>
      </c>
      <c r="B46" s="81" t="s">
        <v>174</v>
      </c>
      <c r="C46" s="82" t="s">
        <v>175</v>
      </c>
      <c r="D46" s="82" t="s">
        <v>174</v>
      </c>
    </row>
    <row r="47" spans="1:4" ht="31.5">
      <c r="A47" s="79" t="s">
        <v>176</v>
      </c>
      <c r="B47" s="81" t="s">
        <v>177</v>
      </c>
      <c r="C47" s="82" t="s">
        <v>178</v>
      </c>
      <c r="D47" s="82" t="s">
        <v>177</v>
      </c>
    </row>
    <row r="48" spans="1:4">
      <c r="A48" s="79" t="s">
        <v>179</v>
      </c>
      <c r="B48" s="81" t="s">
        <v>180</v>
      </c>
      <c r="C48" s="82" t="s">
        <v>181</v>
      </c>
      <c r="D48" s="82" t="s">
        <v>182</v>
      </c>
    </row>
    <row r="49" spans="1:4">
      <c r="A49" s="432" t="s">
        <v>183</v>
      </c>
      <c r="B49" s="433" t="s">
        <v>184</v>
      </c>
      <c r="C49" s="80" t="s">
        <v>185</v>
      </c>
      <c r="D49" s="436" t="s">
        <v>187</v>
      </c>
    </row>
    <row r="50" spans="1:4">
      <c r="A50" s="432"/>
      <c r="B50" s="433"/>
      <c r="C50" s="80" t="s">
        <v>186</v>
      </c>
      <c r="D50" s="436"/>
    </row>
    <row r="51" spans="1:4">
      <c r="A51" s="79" t="s">
        <v>188</v>
      </c>
      <c r="B51" s="83" t="s">
        <v>189</v>
      </c>
      <c r="C51" s="436" t="s">
        <v>65</v>
      </c>
      <c r="D51" s="436"/>
    </row>
    <row r="52" spans="1:4">
      <c r="A52" s="79" t="s">
        <v>190</v>
      </c>
      <c r="B52" s="79" t="s">
        <v>191</v>
      </c>
      <c r="C52" s="80" t="s">
        <v>192</v>
      </c>
      <c r="D52" s="80" t="s">
        <v>191</v>
      </c>
    </row>
    <row r="53" spans="1:4">
      <c r="A53" s="432" t="s">
        <v>193</v>
      </c>
      <c r="B53" s="438" t="s">
        <v>194</v>
      </c>
      <c r="C53" s="435" t="s">
        <v>65</v>
      </c>
      <c r="D53" s="435"/>
    </row>
    <row r="54" spans="1:4">
      <c r="A54" s="432"/>
      <c r="B54" s="438"/>
      <c r="C54" s="435"/>
      <c r="D54" s="435"/>
    </row>
    <row r="55" spans="1:4" ht="31.5">
      <c r="A55" s="79" t="s">
        <v>195</v>
      </c>
      <c r="B55" s="79" t="s">
        <v>196</v>
      </c>
      <c r="C55" s="80" t="s">
        <v>197</v>
      </c>
      <c r="D55" s="80" t="s">
        <v>196</v>
      </c>
    </row>
    <row r="56" spans="1:4" ht="31.5">
      <c r="A56" s="79" t="s">
        <v>198</v>
      </c>
      <c r="B56" s="81" t="s">
        <v>199</v>
      </c>
      <c r="C56" s="435" t="s">
        <v>65</v>
      </c>
      <c r="D56" s="435"/>
    </row>
    <row r="57" spans="1:4">
      <c r="A57" s="432" t="s">
        <v>200</v>
      </c>
      <c r="B57" s="433" t="s">
        <v>201</v>
      </c>
      <c r="C57" s="84" t="s">
        <v>202</v>
      </c>
      <c r="D57" s="434" t="s">
        <v>204</v>
      </c>
    </row>
    <row r="58" spans="1:4">
      <c r="A58" s="432"/>
      <c r="B58" s="433"/>
      <c r="C58" s="84" t="s">
        <v>203</v>
      </c>
      <c r="D58" s="434"/>
    </row>
    <row r="59" spans="1:4">
      <c r="A59" s="432" t="s">
        <v>205</v>
      </c>
      <c r="B59" s="433" t="s">
        <v>206</v>
      </c>
      <c r="C59" s="80" t="s">
        <v>207</v>
      </c>
      <c r="D59" s="436" t="s">
        <v>209</v>
      </c>
    </row>
    <row r="60" spans="1:4">
      <c r="A60" s="432"/>
      <c r="B60" s="433"/>
      <c r="C60" s="80" t="s">
        <v>208</v>
      </c>
      <c r="D60" s="436"/>
    </row>
    <row r="61" spans="1:4">
      <c r="A61" s="432" t="s">
        <v>210</v>
      </c>
      <c r="B61" s="433" t="s">
        <v>211</v>
      </c>
      <c r="C61" s="82" t="s">
        <v>212</v>
      </c>
      <c r="D61" s="434" t="s">
        <v>214</v>
      </c>
    </row>
    <row r="62" spans="1:4">
      <c r="A62" s="432"/>
      <c r="B62" s="433"/>
      <c r="C62" s="82" t="s">
        <v>213</v>
      </c>
      <c r="D62" s="434"/>
    </row>
    <row r="63" spans="1:4">
      <c r="A63" s="432" t="s">
        <v>215</v>
      </c>
      <c r="B63" s="433" t="s">
        <v>216</v>
      </c>
      <c r="C63" s="82" t="s">
        <v>217</v>
      </c>
      <c r="D63" s="434" t="s">
        <v>216</v>
      </c>
    </row>
    <row r="64" spans="1:4">
      <c r="A64" s="432"/>
      <c r="B64" s="433"/>
      <c r="C64" s="82" t="s">
        <v>218</v>
      </c>
      <c r="D64" s="434"/>
    </row>
    <row r="65" spans="1:4">
      <c r="A65" s="432" t="s">
        <v>219</v>
      </c>
      <c r="B65" s="433" t="s">
        <v>220</v>
      </c>
      <c r="C65" s="82" t="s">
        <v>221</v>
      </c>
      <c r="D65" s="434" t="s">
        <v>220</v>
      </c>
    </row>
    <row r="66" spans="1:4">
      <c r="A66" s="432"/>
      <c r="B66" s="433"/>
      <c r="C66" s="82" t="s">
        <v>222</v>
      </c>
      <c r="D66" s="434"/>
    </row>
    <row r="67" spans="1:4">
      <c r="A67" s="432" t="s">
        <v>223</v>
      </c>
      <c r="B67" s="433" t="s">
        <v>224</v>
      </c>
      <c r="C67" s="82" t="s">
        <v>225</v>
      </c>
      <c r="D67" s="434" t="s">
        <v>224</v>
      </c>
    </row>
    <row r="68" spans="1:4">
      <c r="A68" s="432"/>
      <c r="B68" s="433"/>
      <c r="C68" s="82" t="s">
        <v>226</v>
      </c>
      <c r="D68" s="434"/>
    </row>
    <row r="69" spans="1:4">
      <c r="A69" s="432" t="s">
        <v>227</v>
      </c>
      <c r="B69" s="432" t="s">
        <v>228</v>
      </c>
      <c r="C69" s="85" t="s">
        <v>229</v>
      </c>
      <c r="D69" s="437" t="s">
        <v>232</v>
      </c>
    </row>
    <row r="70" spans="1:4">
      <c r="A70" s="432"/>
      <c r="B70" s="432"/>
      <c r="C70" s="85" t="s">
        <v>230</v>
      </c>
      <c r="D70" s="437"/>
    </row>
    <row r="71" spans="1:4">
      <c r="A71" s="432"/>
      <c r="B71" s="432"/>
      <c r="C71" s="85" t="s">
        <v>231</v>
      </c>
      <c r="D71" s="437"/>
    </row>
    <row r="72" spans="1:4" ht="31.5">
      <c r="A72" s="79" t="s">
        <v>233</v>
      </c>
      <c r="B72" s="81" t="s">
        <v>234</v>
      </c>
      <c r="C72" s="82" t="s">
        <v>235</v>
      </c>
      <c r="D72" s="82" t="s">
        <v>234</v>
      </c>
    </row>
    <row r="73" spans="1:4" ht="31.5">
      <c r="A73" s="79" t="s">
        <v>236</v>
      </c>
      <c r="B73" s="81" t="s">
        <v>237</v>
      </c>
      <c r="C73" s="82" t="s">
        <v>238</v>
      </c>
      <c r="D73" s="82" t="s">
        <v>239</v>
      </c>
    </row>
    <row r="74" spans="1:4">
      <c r="A74" s="79" t="s">
        <v>240</v>
      </c>
      <c r="B74" s="79" t="s">
        <v>241</v>
      </c>
      <c r="C74" s="80" t="s">
        <v>242</v>
      </c>
      <c r="D74" s="80" t="s">
        <v>243</v>
      </c>
    </row>
    <row r="75" spans="1:4">
      <c r="A75" s="432" t="s">
        <v>244</v>
      </c>
      <c r="B75" s="432" t="s">
        <v>245</v>
      </c>
      <c r="C75" s="436" t="s">
        <v>246</v>
      </c>
      <c r="D75" s="436" t="s">
        <v>247</v>
      </c>
    </row>
    <row r="76" spans="1:4">
      <c r="A76" s="432"/>
      <c r="B76" s="432"/>
      <c r="C76" s="436"/>
      <c r="D76" s="436"/>
    </row>
    <row r="77" spans="1:4">
      <c r="A77" s="79" t="s">
        <v>248</v>
      </c>
      <c r="B77" s="81" t="s">
        <v>249</v>
      </c>
      <c r="C77" s="435" t="s">
        <v>65</v>
      </c>
      <c r="D77" s="435"/>
    </row>
    <row r="78" spans="1:4" ht="31.5">
      <c r="A78" s="79" t="s">
        <v>250</v>
      </c>
      <c r="B78" s="81" t="s">
        <v>251</v>
      </c>
      <c r="C78" s="82" t="s">
        <v>252</v>
      </c>
      <c r="D78" s="82" t="s">
        <v>253</v>
      </c>
    </row>
    <row r="79" spans="1:4" ht="31.5">
      <c r="A79" s="79" t="s">
        <v>254</v>
      </c>
      <c r="B79" s="79" t="s">
        <v>255</v>
      </c>
      <c r="C79" s="80" t="s">
        <v>256</v>
      </c>
      <c r="D79" s="80" t="s">
        <v>255</v>
      </c>
    </row>
    <row r="80" spans="1:4">
      <c r="A80" s="79" t="s">
        <v>257</v>
      </c>
      <c r="B80" s="81" t="s">
        <v>258</v>
      </c>
      <c r="C80" s="82" t="s">
        <v>259</v>
      </c>
      <c r="D80" s="82" t="s">
        <v>260</v>
      </c>
    </row>
    <row r="81" spans="1:4">
      <c r="A81" s="432" t="s">
        <v>261</v>
      </c>
      <c r="B81" s="433" t="s">
        <v>262</v>
      </c>
      <c r="C81" s="435" t="s">
        <v>65</v>
      </c>
      <c r="D81" s="435"/>
    </row>
    <row r="82" spans="1:4">
      <c r="A82" s="432"/>
      <c r="B82" s="433"/>
      <c r="C82" s="435"/>
      <c r="D82" s="435"/>
    </row>
    <row r="83" spans="1:4" ht="47.25">
      <c r="A83" s="79" t="s">
        <v>263</v>
      </c>
      <c r="B83" s="81" t="s">
        <v>264</v>
      </c>
      <c r="C83" s="82" t="s">
        <v>265</v>
      </c>
      <c r="D83" s="82" t="s">
        <v>266</v>
      </c>
    </row>
    <row r="84" spans="1:4">
      <c r="A84" s="432" t="s">
        <v>267</v>
      </c>
      <c r="B84" s="433" t="s">
        <v>268</v>
      </c>
      <c r="C84" s="435" t="s">
        <v>65</v>
      </c>
      <c r="D84" s="435"/>
    </row>
    <row r="85" spans="1:4">
      <c r="A85" s="432"/>
      <c r="B85" s="433"/>
      <c r="C85" s="435"/>
      <c r="D85" s="435"/>
    </row>
    <row r="86" spans="1:4">
      <c r="A86" s="79" t="s">
        <v>269</v>
      </c>
      <c r="B86" s="433" t="s">
        <v>271</v>
      </c>
      <c r="C86" s="80" t="s">
        <v>272</v>
      </c>
      <c r="D86" s="436" t="s">
        <v>273</v>
      </c>
    </row>
    <row r="87" spans="1:4">
      <c r="A87" s="79" t="s">
        <v>270</v>
      </c>
      <c r="B87" s="433"/>
      <c r="C87" s="80" t="s">
        <v>270</v>
      </c>
      <c r="D87" s="436"/>
    </row>
    <row r="88" spans="1:4">
      <c r="A88" s="432" t="s">
        <v>274</v>
      </c>
      <c r="B88" s="433" t="s">
        <v>275</v>
      </c>
      <c r="C88" s="82" t="s">
        <v>276</v>
      </c>
      <c r="D88" s="434" t="s">
        <v>275</v>
      </c>
    </row>
    <row r="89" spans="1:4">
      <c r="A89" s="432"/>
      <c r="B89" s="433"/>
      <c r="C89" s="82" t="s">
        <v>277</v>
      </c>
      <c r="D89" s="434"/>
    </row>
    <row r="90" spans="1:4">
      <c r="A90" s="432" t="s">
        <v>278</v>
      </c>
      <c r="B90" s="433" t="s">
        <v>279</v>
      </c>
      <c r="C90" s="80" t="s">
        <v>280</v>
      </c>
      <c r="D90" s="434" t="s">
        <v>282</v>
      </c>
    </row>
    <row r="91" spans="1:4">
      <c r="A91" s="432"/>
      <c r="B91" s="433"/>
      <c r="C91" s="80" t="s">
        <v>281</v>
      </c>
      <c r="D91" s="434"/>
    </row>
    <row r="92" spans="1:4" ht="31.5">
      <c r="A92" s="79" t="s">
        <v>283</v>
      </c>
      <c r="B92" s="81" t="s">
        <v>284</v>
      </c>
      <c r="C92" s="82" t="s">
        <v>285</v>
      </c>
      <c r="D92" s="82" t="s">
        <v>286</v>
      </c>
    </row>
    <row r="93" spans="1:4" ht="31.5">
      <c r="A93" s="79" t="s">
        <v>287</v>
      </c>
      <c r="B93" s="81" t="s">
        <v>288</v>
      </c>
      <c r="C93" s="82" t="s">
        <v>289</v>
      </c>
      <c r="D93" s="82" t="s">
        <v>290</v>
      </c>
    </row>
    <row r="94" spans="1:4" ht="31.5">
      <c r="A94" s="79" t="s">
        <v>291</v>
      </c>
      <c r="B94" s="81" t="s">
        <v>292</v>
      </c>
      <c r="C94" s="80" t="s">
        <v>293</v>
      </c>
      <c r="D94" s="80" t="s">
        <v>294</v>
      </c>
    </row>
    <row r="95" spans="1:4" ht="31.5">
      <c r="A95" s="79" t="s">
        <v>295</v>
      </c>
      <c r="B95" s="81" t="s">
        <v>296</v>
      </c>
      <c r="C95" s="82" t="s">
        <v>297</v>
      </c>
      <c r="D95" s="82" t="s">
        <v>298</v>
      </c>
    </row>
    <row r="96" spans="1:4" ht="31.5">
      <c r="A96" s="79" t="s">
        <v>299</v>
      </c>
      <c r="B96" s="81" t="s">
        <v>300</v>
      </c>
      <c r="C96" s="82" t="s">
        <v>301</v>
      </c>
      <c r="D96" s="82" t="s">
        <v>302</v>
      </c>
    </row>
    <row r="97" spans="1:4" ht="31.5">
      <c r="A97" s="79" t="s">
        <v>303</v>
      </c>
      <c r="B97" s="81" t="s">
        <v>304</v>
      </c>
      <c r="C97" s="82" t="s">
        <v>305</v>
      </c>
      <c r="D97" s="82" t="s">
        <v>304</v>
      </c>
    </row>
    <row r="98" spans="1:4" ht="31.5">
      <c r="A98" s="79" t="s">
        <v>306</v>
      </c>
      <c r="B98" s="81" t="s">
        <v>307</v>
      </c>
      <c r="C98" s="82" t="s">
        <v>308</v>
      </c>
      <c r="D98" s="82" t="s">
        <v>307</v>
      </c>
    </row>
    <row r="99" spans="1:4" ht="31.5">
      <c r="A99" s="79" t="s">
        <v>309</v>
      </c>
      <c r="B99" s="81" t="s">
        <v>310</v>
      </c>
      <c r="C99" s="82" t="s">
        <v>311</v>
      </c>
      <c r="D99" s="82" t="s">
        <v>312</v>
      </c>
    </row>
    <row r="100" spans="1:4" ht="31.5">
      <c r="A100" s="79" t="s">
        <v>313</v>
      </c>
      <c r="B100" s="79" t="s">
        <v>314</v>
      </c>
      <c r="C100" s="80" t="s">
        <v>315</v>
      </c>
      <c r="D100" s="80" t="s">
        <v>314</v>
      </c>
    </row>
    <row r="101" spans="1:4" ht="47.25">
      <c r="A101" s="79" t="s">
        <v>316</v>
      </c>
      <c r="B101" s="81" t="s">
        <v>317</v>
      </c>
      <c r="C101" s="82" t="s">
        <v>318</v>
      </c>
      <c r="D101" s="82" t="s">
        <v>317</v>
      </c>
    </row>
    <row r="102" spans="1:4" ht="31.5">
      <c r="A102" s="79" t="s">
        <v>319</v>
      </c>
      <c r="B102" s="81" t="s">
        <v>320</v>
      </c>
      <c r="C102" s="82" t="s">
        <v>321</v>
      </c>
      <c r="D102" s="82" t="s">
        <v>320</v>
      </c>
    </row>
    <row r="103" spans="1:4" ht="31.5">
      <c r="A103" s="79" t="s">
        <v>322</v>
      </c>
      <c r="B103" s="79" t="s">
        <v>323</v>
      </c>
      <c r="C103" s="435" t="s">
        <v>324</v>
      </c>
      <c r="D103" s="435"/>
    </row>
    <row r="104" spans="1:4" ht="47.25">
      <c r="A104" s="79" t="s">
        <v>325</v>
      </c>
      <c r="B104" s="81" t="s">
        <v>326</v>
      </c>
      <c r="C104" s="82" t="s">
        <v>327</v>
      </c>
      <c r="D104" s="82" t="s">
        <v>326</v>
      </c>
    </row>
    <row r="105" spans="1:4" ht="31.5">
      <c r="A105" s="79" t="s">
        <v>328</v>
      </c>
      <c r="B105" s="81" t="s">
        <v>329</v>
      </c>
      <c r="C105" s="82" t="s">
        <v>330</v>
      </c>
      <c r="D105" s="82" t="s">
        <v>329</v>
      </c>
    </row>
    <row r="106" spans="1:4">
      <c r="A106" s="432" t="s">
        <v>331</v>
      </c>
      <c r="B106" s="433" t="s">
        <v>332</v>
      </c>
      <c r="C106" s="434" t="s">
        <v>333</v>
      </c>
      <c r="D106" s="434" t="s">
        <v>334</v>
      </c>
    </row>
    <row r="107" spans="1:4">
      <c r="A107" s="432"/>
      <c r="B107" s="433"/>
      <c r="C107" s="434"/>
      <c r="D107" s="434"/>
    </row>
    <row r="108" spans="1:4" ht="47.25">
      <c r="A108" s="79" t="s">
        <v>335</v>
      </c>
      <c r="B108" s="81" t="s">
        <v>336</v>
      </c>
      <c r="C108" s="82" t="s">
        <v>337</v>
      </c>
      <c r="D108" s="82" t="s">
        <v>338</v>
      </c>
    </row>
    <row r="109" spans="1:4" ht="31.5">
      <c r="A109" s="79" t="s">
        <v>339</v>
      </c>
      <c r="B109" s="81" t="s">
        <v>340</v>
      </c>
      <c r="C109" s="82" t="s">
        <v>341</v>
      </c>
      <c r="D109" s="82" t="s">
        <v>340</v>
      </c>
    </row>
    <row r="110" spans="1:4" ht="31.5">
      <c r="A110" s="79" t="s">
        <v>342</v>
      </c>
      <c r="B110" s="81" t="s">
        <v>343</v>
      </c>
      <c r="C110" s="82" t="s">
        <v>344</v>
      </c>
      <c r="D110" s="82" t="s">
        <v>345</v>
      </c>
    </row>
    <row r="111" spans="1:4" ht="31.5">
      <c r="A111" s="79" t="s">
        <v>346</v>
      </c>
      <c r="B111" s="81" t="s">
        <v>347</v>
      </c>
      <c r="C111" s="82" t="s">
        <v>348</v>
      </c>
      <c r="D111" s="82" t="s">
        <v>347</v>
      </c>
    </row>
    <row r="112" spans="1:4">
      <c r="A112" s="79" t="s">
        <v>349</v>
      </c>
      <c r="B112" s="81" t="s">
        <v>350</v>
      </c>
      <c r="C112" s="82" t="s">
        <v>351</v>
      </c>
      <c r="D112" s="82" t="s">
        <v>350</v>
      </c>
    </row>
    <row r="113" spans="1:4">
      <c r="A113" s="81" t="s">
        <v>352</v>
      </c>
      <c r="B113" s="81" t="s">
        <v>353</v>
      </c>
      <c r="C113" s="82" t="s">
        <v>354</v>
      </c>
      <c r="D113" s="82" t="s">
        <v>353</v>
      </c>
    </row>
    <row r="114" spans="1:4" ht="31.5">
      <c r="A114" s="79" t="s">
        <v>355</v>
      </c>
      <c r="B114" s="79" t="s">
        <v>356</v>
      </c>
      <c r="C114" s="80" t="s">
        <v>357</v>
      </c>
      <c r="D114" s="80" t="s">
        <v>358</v>
      </c>
    </row>
    <row r="115" spans="1:4" ht="31.5">
      <c r="A115" s="79" t="s">
        <v>359</v>
      </c>
      <c r="B115" s="81" t="s">
        <v>360</v>
      </c>
      <c r="C115" s="82" t="s">
        <v>361</v>
      </c>
      <c r="D115" s="82" t="s">
        <v>360</v>
      </c>
    </row>
    <row r="116" spans="1:4" ht="31.5">
      <c r="A116" s="79" t="s">
        <v>362</v>
      </c>
      <c r="B116" s="81" t="s">
        <v>363</v>
      </c>
      <c r="C116" s="82" t="s">
        <v>364</v>
      </c>
      <c r="D116" s="82" t="s">
        <v>363</v>
      </c>
    </row>
    <row r="117" spans="1:4" ht="31.5">
      <c r="A117" s="79" t="s">
        <v>365</v>
      </c>
      <c r="B117" s="81" t="s">
        <v>366</v>
      </c>
      <c r="C117" s="82" t="s">
        <v>367</v>
      </c>
      <c r="D117" s="82" t="s">
        <v>368</v>
      </c>
    </row>
    <row r="118" spans="1:4" ht="31.5">
      <c r="A118" s="79" t="s">
        <v>369</v>
      </c>
      <c r="B118" s="79" t="s">
        <v>370</v>
      </c>
      <c r="C118" s="82" t="s">
        <v>371</v>
      </c>
      <c r="D118" s="82" t="s">
        <v>372</v>
      </c>
    </row>
    <row r="119" spans="1:4">
      <c r="A119" s="432" t="s">
        <v>373</v>
      </c>
      <c r="B119" s="433" t="s">
        <v>374</v>
      </c>
      <c r="C119" s="435" t="s">
        <v>65</v>
      </c>
      <c r="D119" s="435"/>
    </row>
    <row r="120" spans="1:4">
      <c r="A120" s="432"/>
      <c r="B120" s="433"/>
      <c r="C120" s="435"/>
      <c r="D120" s="435"/>
    </row>
    <row r="121" spans="1:4" ht="31.5">
      <c r="A121" s="79" t="s">
        <v>375</v>
      </c>
      <c r="B121" s="81" t="s">
        <v>376</v>
      </c>
      <c r="C121" s="82" t="s">
        <v>377</v>
      </c>
      <c r="D121" s="82" t="s">
        <v>378</v>
      </c>
    </row>
    <row r="122" spans="1:4" ht="31.5">
      <c r="A122" s="79" t="s">
        <v>379</v>
      </c>
      <c r="B122" s="81" t="s">
        <v>380</v>
      </c>
      <c r="C122" s="82" t="s">
        <v>381</v>
      </c>
      <c r="D122" s="82" t="s">
        <v>380</v>
      </c>
    </row>
    <row r="123" spans="1:4" ht="31.5">
      <c r="A123" s="79" t="s">
        <v>382</v>
      </c>
      <c r="B123" s="81" t="s">
        <v>383</v>
      </c>
      <c r="C123" s="82" t="s">
        <v>384</v>
      </c>
      <c r="D123" s="82" t="s">
        <v>383</v>
      </c>
    </row>
    <row r="124" spans="1:4" ht="31.5">
      <c r="A124" s="79" t="s">
        <v>385</v>
      </c>
      <c r="B124" s="81" t="s">
        <v>386</v>
      </c>
      <c r="C124" s="82" t="s">
        <v>387</v>
      </c>
      <c r="D124" s="82" t="s">
        <v>386</v>
      </c>
    </row>
    <row r="125" spans="1:4" ht="31.5">
      <c r="A125" s="79" t="s">
        <v>388</v>
      </c>
      <c r="B125" s="81" t="s">
        <v>389</v>
      </c>
      <c r="C125" s="82" t="s">
        <v>390</v>
      </c>
      <c r="D125" s="82" t="s">
        <v>389</v>
      </c>
    </row>
    <row r="126" spans="1:4" ht="31.5">
      <c r="A126" s="79" t="s">
        <v>391</v>
      </c>
      <c r="B126" s="81" t="s">
        <v>392</v>
      </c>
      <c r="C126" s="82" t="s">
        <v>393</v>
      </c>
      <c r="D126" s="82" t="s">
        <v>392</v>
      </c>
    </row>
    <row r="127" spans="1:4">
      <c r="A127" s="79" t="s">
        <v>394</v>
      </c>
      <c r="B127" s="79" t="s">
        <v>395</v>
      </c>
      <c r="C127" s="80" t="s">
        <v>396</v>
      </c>
      <c r="D127" s="80" t="s">
        <v>395</v>
      </c>
    </row>
    <row r="128" spans="1:4" ht="31.5">
      <c r="A128" s="432" t="s">
        <v>397</v>
      </c>
      <c r="B128" s="79" t="s">
        <v>398</v>
      </c>
      <c r="C128" s="436" t="s">
        <v>400</v>
      </c>
      <c r="D128" s="80" t="s">
        <v>398</v>
      </c>
    </row>
    <row r="129" spans="1:4">
      <c r="A129" s="432"/>
      <c r="B129" s="79" t="s">
        <v>399</v>
      </c>
      <c r="C129" s="436"/>
      <c r="D129" s="80" t="s">
        <v>399</v>
      </c>
    </row>
    <row r="130" spans="1:4" ht="31.5">
      <c r="A130" s="79" t="s">
        <v>401</v>
      </c>
      <c r="B130" s="81" t="s">
        <v>402</v>
      </c>
      <c r="C130" s="82" t="s">
        <v>403</v>
      </c>
      <c r="D130" s="82" t="s">
        <v>402</v>
      </c>
    </row>
    <row r="131" spans="1:4">
      <c r="A131" s="432" t="s">
        <v>404</v>
      </c>
      <c r="B131" s="433" t="s">
        <v>405</v>
      </c>
      <c r="C131" s="434" t="s">
        <v>406</v>
      </c>
      <c r="D131" s="434" t="s">
        <v>407</v>
      </c>
    </row>
    <row r="132" spans="1:4">
      <c r="A132" s="432"/>
      <c r="B132" s="433"/>
      <c r="C132" s="434"/>
      <c r="D132" s="434"/>
    </row>
    <row r="133" spans="1:4" ht="31.5">
      <c r="A133" s="432"/>
      <c r="B133" s="433"/>
      <c r="C133" s="82" t="s">
        <v>408</v>
      </c>
      <c r="D133" s="82" t="s">
        <v>409</v>
      </c>
    </row>
    <row r="134" spans="1:4" ht="31.5">
      <c r="A134" s="79" t="s">
        <v>410</v>
      </c>
      <c r="B134" s="81" t="s">
        <v>411</v>
      </c>
      <c r="C134" s="82" t="s">
        <v>412</v>
      </c>
      <c r="D134" s="82" t="s">
        <v>411</v>
      </c>
    </row>
    <row r="135" spans="1:4" ht="31.5">
      <c r="A135" s="79" t="s">
        <v>413</v>
      </c>
      <c r="B135" s="81" t="s">
        <v>414</v>
      </c>
      <c r="C135" s="82" t="s">
        <v>415</v>
      </c>
      <c r="D135" s="82" t="s">
        <v>414</v>
      </c>
    </row>
    <row r="136" spans="1:4" ht="47.25">
      <c r="A136" s="79" t="s">
        <v>416</v>
      </c>
      <c r="B136" s="81" t="s">
        <v>417</v>
      </c>
      <c r="C136" s="82" t="s">
        <v>418</v>
      </c>
      <c r="D136" s="82" t="s">
        <v>417</v>
      </c>
    </row>
    <row r="137" spans="1:4">
      <c r="A137" s="432" t="s">
        <v>419</v>
      </c>
      <c r="B137" s="433" t="s">
        <v>420</v>
      </c>
      <c r="C137" s="436" t="s">
        <v>421</v>
      </c>
      <c r="D137" s="436" t="s">
        <v>422</v>
      </c>
    </row>
    <row r="138" spans="1:4">
      <c r="A138" s="432"/>
      <c r="B138" s="433"/>
      <c r="C138" s="436"/>
      <c r="D138" s="436"/>
    </row>
    <row r="139" spans="1:4" ht="47.25">
      <c r="A139" s="432"/>
      <c r="B139" s="433"/>
      <c r="C139" s="80" t="s">
        <v>423</v>
      </c>
      <c r="D139" s="80" t="s">
        <v>424</v>
      </c>
    </row>
    <row r="140" spans="1:4" ht="31.5">
      <c r="A140" s="79" t="s">
        <v>425</v>
      </c>
      <c r="B140" s="81" t="s">
        <v>426</v>
      </c>
      <c r="C140" s="80" t="s">
        <v>427</v>
      </c>
      <c r="D140" s="82" t="s">
        <v>428</v>
      </c>
    </row>
    <row r="141" spans="1:4" ht="31.5">
      <c r="A141" s="79" t="s">
        <v>429</v>
      </c>
      <c r="B141" s="81" t="s">
        <v>430</v>
      </c>
      <c r="C141" s="80" t="s">
        <v>431</v>
      </c>
      <c r="D141" s="82" t="s">
        <v>432</v>
      </c>
    </row>
    <row r="142" spans="1:4" ht="31.5">
      <c r="A142" s="79" t="s">
        <v>433</v>
      </c>
      <c r="B142" s="81" t="s">
        <v>434</v>
      </c>
      <c r="C142" s="82" t="s">
        <v>435</v>
      </c>
      <c r="D142" s="82" t="s">
        <v>434</v>
      </c>
    </row>
    <row r="143" spans="1:4" ht="31.5">
      <c r="A143" s="79" t="s">
        <v>436</v>
      </c>
      <c r="B143" s="81" t="s">
        <v>437</v>
      </c>
      <c r="C143" s="82" t="s">
        <v>438</v>
      </c>
      <c r="D143" s="82" t="s">
        <v>437</v>
      </c>
    </row>
    <row r="144" spans="1:4" ht="31.5">
      <c r="A144" s="79" t="s">
        <v>439</v>
      </c>
      <c r="B144" s="81" t="s">
        <v>440</v>
      </c>
      <c r="C144" s="82" t="s">
        <v>441</v>
      </c>
      <c r="D144" s="82" t="s">
        <v>440</v>
      </c>
    </row>
    <row r="145" spans="1:4" ht="31.5">
      <c r="A145" s="79" t="s">
        <v>442</v>
      </c>
      <c r="B145" s="81" t="s">
        <v>443</v>
      </c>
      <c r="C145" s="82" t="s">
        <v>444</v>
      </c>
      <c r="D145" s="82" t="s">
        <v>445</v>
      </c>
    </row>
    <row r="146" spans="1:4" ht="31.5">
      <c r="A146" s="79" t="s">
        <v>446</v>
      </c>
      <c r="B146" s="81" t="s">
        <v>447</v>
      </c>
      <c r="C146" s="435" t="s">
        <v>65</v>
      </c>
      <c r="D146" s="435"/>
    </row>
    <row r="147" spans="1:4" ht="31.5">
      <c r="A147" s="79" t="s">
        <v>448</v>
      </c>
      <c r="B147" s="81" t="s">
        <v>449</v>
      </c>
      <c r="C147" s="82" t="s">
        <v>450</v>
      </c>
      <c r="D147" s="82" t="s">
        <v>449</v>
      </c>
    </row>
    <row r="148" spans="1:4" ht="31.5">
      <c r="A148" s="79" t="s">
        <v>451</v>
      </c>
      <c r="B148" s="79" t="s">
        <v>452</v>
      </c>
      <c r="C148" s="82" t="s">
        <v>453</v>
      </c>
      <c r="D148" s="80" t="s">
        <v>452</v>
      </c>
    </row>
    <row r="149" spans="1:4" ht="31.5">
      <c r="A149" s="79" t="s">
        <v>454</v>
      </c>
      <c r="B149" s="79" t="s">
        <v>455</v>
      </c>
      <c r="C149" s="80" t="s">
        <v>456</v>
      </c>
      <c r="D149" s="80" t="s">
        <v>455</v>
      </c>
    </row>
    <row r="150" spans="1:4" ht="31.5">
      <c r="A150" s="79" t="s">
        <v>457</v>
      </c>
      <c r="B150" s="81" t="s">
        <v>458</v>
      </c>
      <c r="C150" s="82" t="s">
        <v>459</v>
      </c>
      <c r="D150" s="82" t="s">
        <v>458</v>
      </c>
    </row>
    <row r="151" spans="1:4" ht="31.5">
      <c r="A151" s="79"/>
      <c r="B151" s="81"/>
      <c r="C151" s="82" t="s">
        <v>462</v>
      </c>
      <c r="D151" s="82" t="s">
        <v>463</v>
      </c>
    </row>
    <row r="152" spans="1:4" ht="47.25">
      <c r="A152" s="79"/>
      <c r="B152" s="81"/>
      <c r="C152" s="82" t="s">
        <v>464</v>
      </c>
      <c r="D152" s="82" t="s">
        <v>465</v>
      </c>
    </row>
    <row r="153" spans="1:4" ht="47.25">
      <c r="A153" s="79"/>
      <c r="B153" s="81"/>
      <c r="C153" s="82" t="s">
        <v>466</v>
      </c>
      <c r="D153" s="82" t="s">
        <v>467</v>
      </c>
    </row>
    <row r="154" spans="1:4" ht="31.5">
      <c r="A154" s="79" t="s">
        <v>460</v>
      </c>
      <c r="B154" s="81" t="s">
        <v>461</v>
      </c>
      <c r="C154" s="82" t="s">
        <v>468</v>
      </c>
      <c r="D154" s="82" t="s">
        <v>469</v>
      </c>
    </row>
    <row r="155" spans="1:4" ht="47.25">
      <c r="A155" s="86"/>
      <c r="B155" s="86"/>
      <c r="C155" s="82" t="s">
        <v>470</v>
      </c>
      <c r="D155" s="82" t="s">
        <v>471</v>
      </c>
    </row>
    <row r="156" spans="1:4" ht="31.5">
      <c r="A156" s="79" t="s">
        <v>472</v>
      </c>
      <c r="B156" s="81" t="s">
        <v>473</v>
      </c>
      <c r="C156" s="82" t="s">
        <v>474</v>
      </c>
      <c r="D156" s="82" t="s">
        <v>473</v>
      </c>
    </row>
    <row r="157" spans="1:4" ht="31.5">
      <c r="A157" s="79" t="s">
        <v>475</v>
      </c>
      <c r="B157" s="81" t="s">
        <v>476</v>
      </c>
      <c r="C157" s="82" t="s">
        <v>477</v>
      </c>
      <c r="D157" s="82" t="s">
        <v>478</v>
      </c>
    </row>
    <row r="158" spans="1:4">
      <c r="A158" s="432" t="s">
        <v>479</v>
      </c>
      <c r="B158" s="433" t="s">
        <v>480</v>
      </c>
      <c r="C158" s="80" t="s">
        <v>481</v>
      </c>
      <c r="D158" s="436" t="s">
        <v>483</v>
      </c>
    </row>
    <row r="159" spans="1:4">
      <c r="A159" s="432"/>
      <c r="B159" s="433"/>
      <c r="C159" s="80" t="s">
        <v>482</v>
      </c>
      <c r="D159" s="436"/>
    </row>
    <row r="160" spans="1:4" ht="31.5">
      <c r="A160" s="79" t="s">
        <v>484</v>
      </c>
      <c r="B160" s="81" t="s">
        <v>485</v>
      </c>
      <c r="C160" s="82" t="s">
        <v>486</v>
      </c>
      <c r="D160" s="82" t="s">
        <v>485</v>
      </c>
    </row>
    <row r="161" spans="1:4" ht="31.5">
      <c r="A161" s="79" t="s">
        <v>487</v>
      </c>
      <c r="B161" s="81" t="s">
        <v>488</v>
      </c>
      <c r="C161" s="82" t="s">
        <v>489</v>
      </c>
      <c r="D161" s="82" t="s">
        <v>488</v>
      </c>
    </row>
    <row r="162" spans="1:4">
      <c r="A162" s="432" t="s">
        <v>490</v>
      </c>
      <c r="B162" s="433" t="s">
        <v>491</v>
      </c>
      <c r="C162" s="82" t="s">
        <v>492</v>
      </c>
      <c r="D162" s="434" t="s">
        <v>494</v>
      </c>
    </row>
    <row r="163" spans="1:4">
      <c r="A163" s="432"/>
      <c r="B163" s="433"/>
      <c r="C163" s="82" t="s">
        <v>493</v>
      </c>
      <c r="D163" s="434"/>
    </row>
    <row r="164" spans="1:4">
      <c r="A164" s="432" t="s">
        <v>495</v>
      </c>
      <c r="B164" s="81" t="s">
        <v>496</v>
      </c>
      <c r="C164" s="434" t="s">
        <v>498</v>
      </c>
      <c r="D164" s="434" t="s">
        <v>499</v>
      </c>
    </row>
    <row r="165" spans="1:4" ht="31.5">
      <c r="A165" s="432"/>
      <c r="B165" s="81" t="s">
        <v>497</v>
      </c>
      <c r="C165" s="434"/>
      <c r="D165" s="434"/>
    </row>
    <row r="166" spans="1:4" ht="31.5">
      <c r="A166" s="79" t="s">
        <v>500</v>
      </c>
      <c r="B166" s="79" t="s">
        <v>501</v>
      </c>
      <c r="C166" s="80" t="s">
        <v>502</v>
      </c>
      <c r="D166" s="82" t="s">
        <v>503</v>
      </c>
    </row>
    <row r="167" spans="1:4">
      <c r="A167" s="432" t="s">
        <v>504</v>
      </c>
      <c r="B167" s="81" t="s">
        <v>505</v>
      </c>
      <c r="C167" s="82" t="s">
        <v>507</v>
      </c>
      <c r="D167" s="434" t="s">
        <v>509</v>
      </c>
    </row>
    <row r="168" spans="1:4">
      <c r="A168" s="432"/>
      <c r="B168" s="81" t="s">
        <v>506</v>
      </c>
      <c r="C168" s="82" t="s">
        <v>508</v>
      </c>
      <c r="D168" s="434"/>
    </row>
    <row r="169" spans="1:4" ht="31.5">
      <c r="A169" s="432" t="s">
        <v>510</v>
      </c>
      <c r="B169" s="81" t="s">
        <v>505</v>
      </c>
      <c r="C169" s="80" t="s">
        <v>512</v>
      </c>
      <c r="D169" s="82" t="s">
        <v>514</v>
      </c>
    </row>
    <row r="170" spans="1:4" ht="31.5">
      <c r="A170" s="432"/>
      <c r="B170" s="81" t="s">
        <v>511</v>
      </c>
      <c r="C170" s="80" t="s">
        <v>513</v>
      </c>
      <c r="D170" s="82" t="s">
        <v>515</v>
      </c>
    </row>
    <row r="171" spans="1:4" ht="31.5">
      <c r="A171" s="432" t="s">
        <v>516</v>
      </c>
      <c r="B171" s="81" t="s">
        <v>505</v>
      </c>
      <c r="C171" s="80" t="s">
        <v>518</v>
      </c>
      <c r="D171" s="82" t="s">
        <v>514</v>
      </c>
    </row>
    <row r="172" spans="1:4" ht="31.5">
      <c r="A172" s="432"/>
      <c r="B172" s="81" t="s">
        <v>517</v>
      </c>
      <c r="C172" s="80" t="s">
        <v>519</v>
      </c>
      <c r="D172" s="82" t="s">
        <v>520</v>
      </c>
    </row>
    <row r="173" spans="1:4" ht="31.5">
      <c r="A173" s="432" t="s">
        <v>521</v>
      </c>
      <c r="B173" s="81" t="s">
        <v>505</v>
      </c>
      <c r="C173" s="80" t="s">
        <v>523</v>
      </c>
      <c r="D173" s="82" t="s">
        <v>514</v>
      </c>
    </row>
    <row r="174" spans="1:4" ht="31.5">
      <c r="A174" s="432"/>
      <c r="B174" s="81" t="s">
        <v>522</v>
      </c>
      <c r="C174" s="80" t="s">
        <v>524</v>
      </c>
      <c r="D174" s="82" t="s">
        <v>525</v>
      </c>
    </row>
    <row r="175" spans="1:4" ht="31.5">
      <c r="A175" s="432" t="s">
        <v>526</v>
      </c>
      <c r="B175" s="81" t="s">
        <v>505</v>
      </c>
      <c r="C175" s="80" t="s">
        <v>528</v>
      </c>
      <c r="D175" s="82" t="s">
        <v>514</v>
      </c>
    </row>
    <row r="176" spans="1:4">
      <c r="A176" s="432"/>
      <c r="B176" s="81" t="s">
        <v>527</v>
      </c>
      <c r="C176" s="80" t="s">
        <v>529</v>
      </c>
      <c r="D176" s="82" t="s">
        <v>530</v>
      </c>
    </row>
    <row r="177" spans="1:4" ht="31.5">
      <c r="A177" s="432" t="s">
        <v>531</v>
      </c>
      <c r="B177" s="81" t="s">
        <v>505</v>
      </c>
      <c r="C177" s="80" t="s">
        <v>533</v>
      </c>
      <c r="D177" s="82" t="s">
        <v>535</v>
      </c>
    </row>
    <row r="178" spans="1:4">
      <c r="A178" s="432"/>
      <c r="B178" s="81" t="s">
        <v>532</v>
      </c>
      <c r="C178" s="80" t="s">
        <v>534</v>
      </c>
      <c r="D178" s="82" t="s">
        <v>532</v>
      </c>
    </row>
    <row r="179" spans="1:4" ht="31.5">
      <c r="A179" s="432" t="s">
        <v>536</v>
      </c>
      <c r="B179" s="81" t="s">
        <v>505</v>
      </c>
      <c r="C179" s="80" t="s">
        <v>538</v>
      </c>
      <c r="D179" s="82" t="s">
        <v>514</v>
      </c>
    </row>
    <row r="180" spans="1:4" ht="31.5">
      <c r="A180" s="432"/>
      <c r="B180" s="81" t="s">
        <v>537</v>
      </c>
      <c r="C180" s="80" t="s">
        <v>539</v>
      </c>
      <c r="D180" s="82" t="s">
        <v>540</v>
      </c>
    </row>
    <row r="181" spans="1:4" ht="31.5">
      <c r="A181" s="79" t="s">
        <v>541</v>
      </c>
      <c r="B181" s="81" t="s">
        <v>542</v>
      </c>
      <c r="C181" s="82" t="s">
        <v>543</v>
      </c>
      <c r="D181" s="82" t="s">
        <v>542</v>
      </c>
    </row>
    <row r="182" spans="1:4" ht="31.5">
      <c r="A182" s="79" t="s">
        <v>544</v>
      </c>
      <c r="B182" s="81" t="s">
        <v>545</v>
      </c>
      <c r="C182" s="82" t="s">
        <v>546</v>
      </c>
      <c r="D182" s="82" t="s">
        <v>545</v>
      </c>
    </row>
    <row r="183" spans="1:4" ht="31.5">
      <c r="A183" s="79" t="s">
        <v>547</v>
      </c>
      <c r="B183" s="79" t="s">
        <v>548</v>
      </c>
      <c r="C183" s="80" t="s">
        <v>549</v>
      </c>
      <c r="D183" s="80" t="s">
        <v>550</v>
      </c>
    </row>
    <row r="184" spans="1:4" ht="31.5">
      <c r="A184" s="79" t="s">
        <v>551</v>
      </c>
      <c r="B184" s="79" t="s">
        <v>552</v>
      </c>
      <c r="C184" s="80" t="s">
        <v>553</v>
      </c>
      <c r="D184" s="80" t="s">
        <v>554</v>
      </c>
    </row>
    <row r="185" spans="1:4" ht="31.5">
      <c r="A185" s="79" t="s">
        <v>555</v>
      </c>
      <c r="B185" s="81" t="s">
        <v>556</v>
      </c>
      <c r="C185" s="82" t="s">
        <v>557</v>
      </c>
      <c r="D185" s="82" t="s">
        <v>558</v>
      </c>
    </row>
    <row r="186" spans="1:4" ht="31.5">
      <c r="A186" s="79" t="s">
        <v>559</v>
      </c>
      <c r="B186" s="79" t="s">
        <v>560</v>
      </c>
      <c r="C186" s="80" t="s">
        <v>561</v>
      </c>
      <c r="D186" s="80" t="s">
        <v>562</v>
      </c>
    </row>
    <row r="187" spans="1:4" ht="31.5">
      <c r="A187" s="79" t="s">
        <v>563</v>
      </c>
      <c r="B187" s="81" t="s">
        <v>564</v>
      </c>
      <c r="C187" s="82" t="s">
        <v>565</v>
      </c>
      <c r="D187" s="82" t="s">
        <v>566</v>
      </c>
    </row>
    <row r="188" spans="1:4" ht="31.5">
      <c r="A188" s="79" t="s">
        <v>567</v>
      </c>
      <c r="B188" s="79" t="s">
        <v>568</v>
      </c>
      <c r="C188" s="80" t="s">
        <v>569</v>
      </c>
      <c r="D188" s="80" t="s">
        <v>568</v>
      </c>
    </row>
    <row r="189" spans="1:4" ht="31.5">
      <c r="A189" s="79" t="s">
        <v>570</v>
      </c>
      <c r="B189" s="81" t="s">
        <v>571</v>
      </c>
      <c r="C189" s="82" t="s">
        <v>572</v>
      </c>
      <c r="D189" s="82" t="s">
        <v>573</v>
      </c>
    </row>
    <row r="190" spans="1:4" ht="31.5">
      <c r="A190" s="79" t="s">
        <v>574</v>
      </c>
      <c r="B190" s="79" t="s">
        <v>575</v>
      </c>
      <c r="C190" s="80" t="s">
        <v>576</v>
      </c>
      <c r="D190" s="80" t="s">
        <v>577</v>
      </c>
    </row>
    <row r="191" spans="1:4" ht="31.5">
      <c r="A191" s="79" t="s">
        <v>578</v>
      </c>
      <c r="B191" s="79" t="s">
        <v>579</v>
      </c>
      <c r="C191" s="80" t="s">
        <v>580</v>
      </c>
      <c r="D191" s="80" t="s">
        <v>581</v>
      </c>
    </row>
    <row r="192" spans="1:4" ht="31.5">
      <c r="A192" s="79" t="s">
        <v>582</v>
      </c>
      <c r="B192" s="79" t="s">
        <v>583</v>
      </c>
      <c r="C192" s="80" t="s">
        <v>584</v>
      </c>
      <c r="D192" s="80" t="s">
        <v>585</v>
      </c>
    </row>
    <row r="193" spans="1:4" ht="31.5">
      <c r="A193" s="79" t="s">
        <v>586</v>
      </c>
      <c r="B193" s="79" t="s">
        <v>587</v>
      </c>
      <c r="C193" s="80" t="s">
        <v>588</v>
      </c>
      <c r="D193" s="80" t="s">
        <v>589</v>
      </c>
    </row>
    <row r="194" spans="1:4">
      <c r="A194" s="432" t="s">
        <v>590</v>
      </c>
      <c r="B194" s="81" t="s">
        <v>398</v>
      </c>
      <c r="C194" s="434" t="s">
        <v>150</v>
      </c>
      <c r="D194" s="434" t="s">
        <v>593</v>
      </c>
    </row>
    <row r="195" spans="1:4">
      <c r="A195" s="432"/>
      <c r="B195" s="79" t="s">
        <v>591</v>
      </c>
      <c r="C195" s="434"/>
      <c r="D195" s="434"/>
    </row>
    <row r="196" spans="1:4" ht="31.5">
      <c r="A196" s="432"/>
      <c r="B196" s="79" t="s">
        <v>592</v>
      </c>
      <c r="C196" s="82" t="s">
        <v>594</v>
      </c>
      <c r="D196" s="82" t="s">
        <v>595</v>
      </c>
    </row>
    <row r="197" spans="1:4" ht="31.5">
      <c r="A197" s="79" t="s">
        <v>596</v>
      </c>
      <c r="B197" s="81" t="s">
        <v>597</v>
      </c>
      <c r="C197" s="82" t="s">
        <v>598</v>
      </c>
      <c r="D197" s="82" t="s">
        <v>599</v>
      </c>
    </row>
    <row r="198" spans="1:4" ht="31.5">
      <c r="A198" s="79" t="s">
        <v>600</v>
      </c>
      <c r="B198" s="81" t="s">
        <v>601</v>
      </c>
      <c r="C198" s="82" t="s">
        <v>602</v>
      </c>
      <c r="D198" s="82" t="s">
        <v>603</v>
      </c>
    </row>
    <row r="199" spans="1:4" ht="47.25">
      <c r="A199" s="79" t="s">
        <v>604</v>
      </c>
      <c r="B199" s="81" t="s">
        <v>605</v>
      </c>
      <c r="C199" s="82" t="s">
        <v>606</v>
      </c>
      <c r="D199" s="82" t="s">
        <v>605</v>
      </c>
    </row>
    <row r="200" spans="1:4" ht="31.5">
      <c r="A200" s="79" t="s">
        <v>607</v>
      </c>
      <c r="B200" s="79" t="s">
        <v>608</v>
      </c>
      <c r="C200" s="80" t="s">
        <v>609</v>
      </c>
      <c r="D200" s="80" t="s">
        <v>608</v>
      </c>
    </row>
    <row r="201" spans="1:4" ht="31.5">
      <c r="A201" s="79" t="s">
        <v>610</v>
      </c>
      <c r="B201" s="81" t="s">
        <v>611</v>
      </c>
      <c r="C201" s="82" t="s">
        <v>612</v>
      </c>
      <c r="D201" s="82" t="s">
        <v>613</v>
      </c>
    </row>
    <row r="202" spans="1:4" ht="31.5">
      <c r="A202" s="79" t="s">
        <v>614</v>
      </c>
      <c r="B202" s="81" t="s">
        <v>615</v>
      </c>
      <c r="C202" s="435" t="s">
        <v>65</v>
      </c>
      <c r="D202" s="435"/>
    </row>
    <row r="203" spans="1:4" ht="31.5">
      <c r="A203" s="79" t="s">
        <v>616</v>
      </c>
      <c r="B203" s="81" t="s">
        <v>617</v>
      </c>
      <c r="C203" s="80" t="s">
        <v>618</v>
      </c>
      <c r="D203" s="82" t="s">
        <v>619</v>
      </c>
    </row>
    <row r="204" spans="1:4" ht="31.5">
      <c r="A204" s="79" t="s">
        <v>620</v>
      </c>
      <c r="B204" s="79" t="s">
        <v>621</v>
      </c>
      <c r="C204" s="435" t="s">
        <v>622</v>
      </c>
      <c r="D204" s="435"/>
    </row>
    <row r="205" spans="1:4" ht="31.5">
      <c r="A205" s="79" t="s">
        <v>623</v>
      </c>
      <c r="B205" s="81" t="s">
        <v>624</v>
      </c>
      <c r="C205" s="80" t="s">
        <v>625</v>
      </c>
      <c r="D205" s="82" t="s">
        <v>624</v>
      </c>
    </row>
    <row r="206" spans="1:4" ht="31.5">
      <c r="A206" s="79" t="s">
        <v>626</v>
      </c>
      <c r="B206" s="79" t="s">
        <v>627</v>
      </c>
      <c r="C206" s="80" t="s">
        <v>628</v>
      </c>
      <c r="D206" s="80" t="s">
        <v>629</v>
      </c>
    </row>
    <row r="207" spans="1:4" ht="31.5">
      <c r="A207" s="79" t="s">
        <v>630</v>
      </c>
      <c r="B207" s="81" t="s">
        <v>631</v>
      </c>
      <c r="C207" s="82" t="s">
        <v>632</v>
      </c>
      <c r="D207" s="82" t="s">
        <v>633</v>
      </c>
    </row>
    <row r="208" spans="1:4">
      <c r="A208" s="432" t="s">
        <v>634</v>
      </c>
      <c r="B208" s="81" t="s">
        <v>635</v>
      </c>
      <c r="C208" s="434" t="s">
        <v>638</v>
      </c>
      <c r="D208" s="434" t="s">
        <v>639</v>
      </c>
    </row>
    <row r="209" spans="1:4" ht="31.5">
      <c r="A209" s="432"/>
      <c r="B209" s="81" t="s">
        <v>636</v>
      </c>
      <c r="C209" s="434"/>
      <c r="D209" s="434"/>
    </row>
    <row r="210" spans="1:4" ht="31.5">
      <c r="A210" s="432"/>
      <c r="B210" s="81" t="s">
        <v>637</v>
      </c>
      <c r="C210" s="82" t="s">
        <v>640</v>
      </c>
      <c r="D210" s="82" t="s">
        <v>641</v>
      </c>
    </row>
    <row r="211" spans="1:4" ht="31.5">
      <c r="A211" s="79" t="s">
        <v>642</v>
      </c>
      <c r="B211" s="81" t="s">
        <v>643</v>
      </c>
      <c r="C211" s="82" t="s">
        <v>644</v>
      </c>
      <c r="D211" s="82" t="s">
        <v>645</v>
      </c>
    </row>
    <row r="212" spans="1:4" ht="31.5">
      <c r="A212" s="79" t="s">
        <v>646</v>
      </c>
      <c r="B212" s="81" t="s">
        <v>647</v>
      </c>
      <c r="C212" s="82" t="s">
        <v>648</v>
      </c>
      <c r="D212" s="82" t="s">
        <v>649</v>
      </c>
    </row>
    <row r="213" spans="1:4" ht="31.5">
      <c r="A213" s="79" t="s">
        <v>650</v>
      </c>
      <c r="B213" s="79" t="s">
        <v>651</v>
      </c>
      <c r="C213" s="82" t="s">
        <v>652</v>
      </c>
      <c r="D213" s="82" t="s">
        <v>653</v>
      </c>
    </row>
    <row r="214" spans="1:4" ht="31.5">
      <c r="A214" s="79" t="s">
        <v>654</v>
      </c>
      <c r="B214" s="81" t="s">
        <v>655</v>
      </c>
      <c r="C214" s="82" t="s">
        <v>656</v>
      </c>
      <c r="D214" s="82" t="s">
        <v>657</v>
      </c>
    </row>
    <row r="215" spans="1:4">
      <c r="A215" s="432" t="s">
        <v>658</v>
      </c>
      <c r="B215" s="433" t="s">
        <v>659</v>
      </c>
      <c r="C215" s="82" t="s">
        <v>229</v>
      </c>
      <c r="D215" s="434" t="s">
        <v>662</v>
      </c>
    </row>
    <row r="216" spans="1:4">
      <c r="A216" s="432"/>
      <c r="B216" s="433"/>
      <c r="C216" s="82" t="s">
        <v>660</v>
      </c>
      <c r="D216" s="434"/>
    </row>
    <row r="217" spans="1:4">
      <c r="A217" s="432"/>
      <c r="B217" s="433"/>
      <c r="C217" s="82" t="s">
        <v>661</v>
      </c>
      <c r="D217" s="434"/>
    </row>
    <row r="218" spans="1:4" ht="31.5">
      <c r="A218" s="79" t="s">
        <v>663</v>
      </c>
      <c r="B218" s="81" t="s">
        <v>664</v>
      </c>
      <c r="C218" s="82" t="s">
        <v>665</v>
      </c>
      <c r="D218" s="82" t="s">
        <v>666</v>
      </c>
    </row>
    <row r="219" spans="1:4" ht="31.5">
      <c r="A219" s="79" t="s">
        <v>667</v>
      </c>
      <c r="B219" s="81" t="s">
        <v>668</v>
      </c>
      <c r="C219" s="82" t="s">
        <v>669</v>
      </c>
      <c r="D219" s="82" t="s">
        <v>670</v>
      </c>
    </row>
    <row r="220" spans="1:4" ht="31.5">
      <c r="A220" s="79" t="s">
        <v>671</v>
      </c>
      <c r="B220" s="81" t="s">
        <v>672</v>
      </c>
      <c r="C220" s="82" t="s">
        <v>673</v>
      </c>
      <c r="D220" s="82" t="s">
        <v>672</v>
      </c>
    </row>
    <row r="221" spans="1:4" ht="31.5">
      <c r="A221" s="79" t="s">
        <v>674</v>
      </c>
      <c r="B221" s="81" t="s">
        <v>675</v>
      </c>
      <c r="C221" s="82" t="s">
        <v>676</v>
      </c>
      <c r="D221" s="82" t="s">
        <v>677</v>
      </c>
    </row>
    <row r="222" spans="1:4" ht="31.5">
      <c r="A222" s="79" t="s">
        <v>678</v>
      </c>
      <c r="B222" s="81" t="s">
        <v>679</v>
      </c>
      <c r="C222" s="82" t="s">
        <v>680</v>
      </c>
      <c r="D222" s="82" t="s">
        <v>681</v>
      </c>
    </row>
    <row r="223" spans="1:4" ht="31.5">
      <c r="A223" s="79" t="s">
        <v>682</v>
      </c>
      <c r="B223" s="81" t="s">
        <v>683</v>
      </c>
      <c r="C223" s="82" t="s">
        <v>684</v>
      </c>
      <c r="D223" s="82" t="s">
        <v>683</v>
      </c>
    </row>
  </sheetData>
  <mergeCells count="141">
    <mergeCell ref="A28:A29"/>
    <mergeCell ref="B28:B29"/>
    <mergeCell ref="C28:C29"/>
    <mergeCell ref="D28:D29"/>
    <mergeCell ref="A1:B1"/>
    <mergeCell ref="C1:D1"/>
    <mergeCell ref="C2:D2"/>
    <mergeCell ref="B5:B6"/>
    <mergeCell ref="C5:C6"/>
    <mergeCell ref="D5:D6"/>
    <mergeCell ref="A18:A19"/>
    <mergeCell ref="B18:B19"/>
    <mergeCell ref="C18:C19"/>
    <mergeCell ref="D18:D19"/>
    <mergeCell ref="A20:A21"/>
    <mergeCell ref="B20:B21"/>
    <mergeCell ref="C20:D21"/>
    <mergeCell ref="A22:A23"/>
    <mergeCell ref="B22:B23"/>
    <mergeCell ref="C22:C23"/>
    <mergeCell ref="D22:D23"/>
    <mergeCell ref="A24:A25"/>
    <mergeCell ref="B24:B25"/>
    <mergeCell ref="C24:C25"/>
    <mergeCell ref="D24:D25"/>
    <mergeCell ref="A26:A27"/>
    <mergeCell ref="B26:B27"/>
    <mergeCell ref="C26:C27"/>
    <mergeCell ref="D26:D27"/>
    <mergeCell ref="C56:D56"/>
    <mergeCell ref="A57:A58"/>
    <mergeCell ref="B57:B58"/>
    <mergeCell ref="D57:D58"/>
    <mergeCell ref="A30:A31"/>
    <mergeCell ref="B30:B31"/>
    <mergeCell ref="C30:C31"/>
    <mergeCell ref="D30:D31"/>
    <mergeCell ref="A32:A33"/>
    <mergeCell ref="B32:B33"/>
    <mergeCell ref="C32:C33"/>
    <mergeCell ref="D32:D33"/>
    <mergeCell ref="A34:A35"/>
    <mergeCell ref="B34:B35"/>
    <mergeCell ref="C34:C35"/>
    <mergeCell ref="D34:D35"/>
    <mergeCell ref="C40:D40"/>
    <mergeCell ref="C41:D41"/>
    <mergeCell ref="C42:D42"/>
    <mergeCell ref="C43:D43"/>
    <mergeCell ref="C44:D44"/>
    <mergeCell ref="A49:A50"/>
    <mergeCell ref="B49:B50"/>
    <mergeCell ref="D49:D50"/>
    <mergeCell ref="C51:D51"/>
    <mergeCell ref="A53:A54"/>
    <mergeCell ref="B53:B54"/>
    <mergeCell ref="C53:D54"/>
    <mergeCell ref="C77:D77"/>
    <mergeCell ref="A81:A82"/>
    <mergeCell ref="B81:B82"/>
    <mergeCell ref="C81:D82"/>
    <mergeCell ref="A59:A60"/>
    <mergeCell ref="B59:B60"/>
    <mergeCell ref="D59:D60"/>
    <mergeCell ref="A61:A62"/>
    <mergeCell ref="B61:B62"/>
    <mergeCell ref="D61:D62"/>
    <mergeCell ref="A63:A64"/>
    <mergeCell ref="B63:B64"/>
    <mergeCell ref="D63:D64"/>
    <mergeCell ref="A65:A66"/>
    <mergeCell ref="B65:B66"/>
    <mergeCell ref="D65:D66"/>
    <mergeCell ref="A67:A68"/>
    <mergeCell ref="B67:B68"/>
    <mergeCell ref="D67:D68"/>
    <mergeCell ref="A69:A71"/>
    <mergeCell ref="B69:B71"/>
    <mergeCell ref="D69:D71"/>
    <mergeCell ref="A75:A76"/>
    <mergeCell ref="B75:B76"/>
    <mergeCell ref="D208:D209"/>
    <mergeCell ref="C75:C76"/>
    <mergeCell ref="D75:D76"/>
    <mergeCell ref="A137:A139"/>
    <mergeCell ref="B137:B139"/>
    <mergeCell ref="C137:C138"/>
    <mergeCell ref="D137:D138"/>
    <mergeCell ref="C146:D146"/>
    <mergeCell ref="A158:A159"/>
    <mergeCell ref="B158:B159"/>
    <mergeCell ref="D158:D159"/>
    <mergeCell ref="A84:A85"/>
    <mergeCell ref="B84:B85"/>
    <mergeCell ref="C84:D85"/>
    <mergeCell ref="B86:B87"/>
    <mergeCell ref="D86:D87"/>
    <mergeCell ref="A88:A89"/>
    <mergeCell ref="B88:B89"/>
    <mergeCell ref="D88:D89"/>
    <mergeCell ref="A90:A91"/>
    <mergeCell ref="B90:B91"/>
    <mergeCell ref="D90:D91"/>
    <mergeCell ref="C103:D103"/>
    <mergeCell ref="A106:A107"/>
    <mergeCell ref="C106:C107"/>
    <mergeCell ref="D106:D107"/>
    <mergeCell ref="A119:A120"/>
    <mergeCell ref="B119:B120"/>
    <mergeCell ref="C119:D120"/>
    <mergeCell ref="A128:A129"/>
    <mergeCell ref="C128:C129"/>
    <mergeCell ref="A131:A133"/>
    <mergeCell ref="B131:B133"/>
    <mergeCell ref="C131:C132"/>
    <mergeCell ref="D131:D132"/>
    <mergeCell ref="B106:B107"/>
    <mergeCell ref="A215:A217"/>
    <mergeCell ref="B215:B217"/>
    <mergeCell ref="D215:D217"/>
    <mergeCell ref="A162:A163"/>
    <mergeCell ref="B162:B163"/>
    <mergeCell ref="D162:D163"/>
    <mergeCell ref="A164:A165"/>
    <mergeCell ref="C164:C165"/>
    <mergeCell ref="D164:D165"/>
    <mergeCell ref="A167:A168"/>
    <mergeCell ref="D167:D168"/>
    <mergeCell ref="A169:A170"/>
    <mergeCell ref="A171:A172"/>
    <mergeCell ref="A173:A174"/>
    <mergeCell ref="A175:A176"/>
    <mergeCell ref="A177:A178"/>
    <mergeCell ref="A179:A180"/>
    <mergeCell ref="A194:A196"/>
    <mergeCell ref="C194:C195"/>
    <mergeCell ref="D194:D195"/>
    <mergeCell ref="C202:D202"/>
    <mergeCell ref="C204:D204"/>
    <mergeCell ref="A208:A210"/>
    <mergeCell ref="C208:C20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C4:D41"/>
  <sheetViews>
    <sheetView topLeftCell="A25" workbookViewId="0">
      <selection activeCell="F12" sqref="F12"/>
    </sheetView>
  </sheetViews>
  <sheetFormatPr defaultRowHeight="15.75"/>
  <cols>
    <col min="1" max="2" width="9" style="89"/>
    <col min="3" max="3" width="19.375" style="89" customWidth="1"/>
    <col min="4" max="4" width="100" style="89" customWidth="1"/>
    <col min="5" max="16384" width="9" style="89"/>
  </cols>
  <sheetData>
    <row r="4" spans="3:4">
      <c r="C4" s="79" t="s">
        <v>69</v>
      </c>
      <c r="D4" s="79" t="s">
        <v>70</v>
      </c>
    </row>
    <row r="5" spans="3:4">
      <c r="C5" s="81" t="s">
        <v>171</v>
      </c>
      <c r="D5" s="81" t="s">
        <v>172</v>
      </c>
    </row>
    <row r="6" spans="3:4">
      <c r="C6" s="81" t="s">
        <v>175</v>
      </c>
      <c r="D6" s="81" t="s">
        <v>174</v>
      </c>
    </row>
    <row r="7" spans="3:4">
      <c r="C7" s="81" t="s">
        <v>178</v>
      </c>
      <c r="D7" s="81" t="s">
        <v>177</v>
      </c>
    </row>
    <row r="8" spans="3:4">
      <c r="C8" s="81" t="s">
        <v>181</v>
      </c>
      <c r="D8" s="81" t="s">
        <v>182</v>
      </c>
    </row>
    <row r="9" spans="3:4">
      <c r="C9" s="81" t="s">
        <v>259</v>
      </c>
      <c r="D9" s="81" t="s">
        <v>260</v>
      </c>
    </row>
    <row r="10" spans="3:4">
      <c r="C10" s="90" t="s">
        <v>229</v>
      </c>
      <c r="D10" s="439" t="s">
        <v>232</v>
      </c>
    </row>
    <row r="11" spans="3:4">
      <c r="C11" s="90" t="s">
        <v>230</v>
      </c>
      <c r="D11" s="439"/>
    </row>
    <row r="12" spans="3:4">
      <c r="C12" s="90" t="s">
        <v>231</v>
      </c>
      <c r="D12" s="439"/>
    </row>
    <row r="13" spans="3:4">
      <c r="C13" s="79" t="s">
        <v>242</v>
      </c>
      <c r="D13" s="79" t="s">
        <v>243</v>
      </c>
    </row>
    <row r="14" spans="3:4">
      <c r="C14" s="79" t="s">
        <v>272</v>
      </c>
      <c r="D14" s="432" t="s">
        <v>273</v>
      </c>
    </row>
    <row r="15" spans="3:4">
      <c r="C15" s="79" t="s">
        <v>270</v>
      </c>
      <c r="D15" s="432"/>
    </row>
    <row r="16" spans="3:4">
      <c r="C16" s="81" t="s">
        <v>297</v>
      </c>
      <c r="D16" s="81" t="s">
        <v>298</v>
      </c>
    </row>
    <row r="17" spans="3:4">
      <c r="C17" s="81" t="s">
        <v>301</v>
      </c>
      <c r="D17" s="81" t="s">
        <v>302</v>
      </c>
    </row>
    <row r="18" spans="3:4">
      <c r="C18" s="81" t="s">
        <v>321</v>
      </c>
      <c r="D18" s="81" t="s">
        <v>320</v>
      </c>
    </row>
    <row r="19" spans="3:4" ht="31.5">
      <c r="C19" s="81" t="s">
        <v>327</v>
      </c>
      <c r="D19" s="81" t="s">
        <v>326</v>
      </c>
    </row>
    <row r="20" spans="3:4">
      <c r="C20" s="79" t="s">
        <v>357</v>
      </c>
      <c r="D20" s="79" t="s">
        <v>358</v>
      </c>
    </row>
    <row r="21" spans="3:4">
      <c r="C21" s="79" t="s">
        <v>396</v>
      </c>
      <c r="D21" s="79" t="s">
        <v>395</v>
      </c>
    </row>
    <row r="22" spans="3:4">
      <c r="C22" s="432" t="s">
        <v>400</v>
      </c>
      <c r="D22" s="79" t="s">
        <v>398</v>
      </c>
    </row>
    <row r="23" spans="3:4">
      <c r="C23" s="432"/>
      <c r="D23" s="79" t="s">
        <v>399</v>
      </c>
    </row>
    <row r="24" spans="3:4">
      <c r="C24" s="433" t="s">
        <v>150</v>
      </c>
      <c r="D24" s="433" t="s">
        <v>593</v>
      </c>
    </row>
    <row r="25" spans="3:4">
      <c r="C25" s="433"/>
      <c r="D25" s="433"/>
    </row>
    <row r="26" spans="3:4">
      <c r="C26" s="81" t="s">
        <v>594</v>
      </c>
      <c r="D26" s="81" t="s">
        <v>595</v>
      </c>
    </row>
    <row r="27" spans="3:4">
      <c r="C27" s="81" t="s">
        <v>435</v>
      </c>
      <c r="D27" s="81" t="s">
        <v>434</v>
      </c>
    </row>
    <row r="28" spans="3:4">
      <c r="C28" s="81" t="s">
        <v>450</v>
      </c>
      <c r="D28" s="81" t="s">
        <v>449</v>
      </c>
    </row>
    <row r="29" spans="3:4">
      <c r="C29" s="81" t="s">
        <v>453</v>
      </c>
      <c r="D29" s="79" t="s">
        <v>452</v>
      </c>
    </row>
    <row r="30" spans="3:4">
      <c r="C30" s="79" t="s">
        <v>456</v>
      </c>
      <c r="D30" s="79" t="s">
        <v>455</v>
      </c>
    </row>
    <row r="31" spans="3:4">
      <c r="C31" s="81" t="s">
        <v>474</v>
      </c>
      <c r="D31" s="81" t="s">
        <v>473</v>
      </c>
    </row>
    <row r="32" spans="3:4">
      <c r="C32" s="79" t="s">
        <v>481</v>
      </c>
      <c r="D32" s="432" t="s">
        <v>483</v>
      </c>
    </row>
    <row r="33" spans="3:4">
      <c r="C33" s="79" t="s">
        <v>482</v>
      </c>
      <c r="D33" s="432"/>
    </row>
    <row r="34" spans="3:4">
      <c r="C34" s="79" t="s">
        <v>625</v>
      </c>
      <c r="D34" s="81" t="s">
        <v>624</v>
      </c>
    </row>
    <row r="35" spans="3:4">
      <c r="C35" s="81" t="s">
        <v>632</v>
      </c>
      <c r="D35" s="81" t="s">
        <v>633</v>
      </c>
    </row>
    <row r="36" spans="3:4">
      <c r="C36" s="81" t="s">
        <v>652</v>
      </c>
      <c r="D36" s="81" t="s">
        <v>653</v>
      </c>
    </row>
    <row r="37" spans="3:4">
      <c r="C37" s="81" t="s">
        <v>669</v>
      </c>
      <c r="D37" s="81" t="s">
        <v>670</v>
      </c>
    </row>
    <row r="38" spans="3:4">
      <c r="C38" s="81" t="s">
        <v>673</v>
      </c>
      <c r="D38" s="81" t="s">
        <v>672</v>
      </c>
    </row>
    <row r="39" spans="3:4">
      <c r="C39" s="81" t="s">
        <v>676</v>
      </c>
      <c r="D39" s="81" t="s">
        <v>677</v>
      </c>
    </row>
    <row r="40" spans="3:4" ht="31.5">
      <c r="C40" s="81" t="s">
        <v>680</v>
      </c>
      <c r="D40" s="81" t="s">
        <v>681</v>
      </c>
    </row>
    <row r="41" spans="3:4">
      <c r="C41" s="81" t="s">
        <v>687</v>
      </c>
      <c r="D41" s="81" t="s">
        <v>688</v>
      </c>
    </row>
  </sheetData>
  <mergeCells count="6">
    <mergeCell ref="D10:D12"/>
    <mergeCell ref="D14:D15"/>
    <mergeCell ref="C22:C23"/>
    <mergeCell ref="D32:D33"/>
    <mergeCell ref="C24:C25"/>
    <mergeCell ref="D24:D2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D49"/>
  <sheetViews>
    <sheetView workbookViewId="0">
      <selection activeCell="F12" sqref="F12"/>
    </sheetView>
  </sheetViews>
  <sheetFormatPr defaultRowHeight="14.25"/>
  <cols>
    <col min="1" max="1" width="46" style="127" customWidth="1"/>
    <col min="2" max="3" width="9" style="127"/>
    <col min="4" max="4" width="20" style="127" customWidth="1"/>
    <col min="5" max="16384" width="9" style="127"/>
  </cols>
  <sheetData>
    <row r="1" spans="1:4">
      <c r="A1" s="440" t="s">
        <v>1005</v>
      </c>
      <c r="B1" s="441"/>
      <c r="C1" s="441"/>
      <c r="D1" s="441"/>
    </row>
    <row r="2" spans="1:4" ht="16.5">
      <c r="A2" s="440" t="s">
        <v>1006</v>
      </c>
      <c r="B2" s="440"/>
      <c r="C2" s="440"/>
      <c r="D2" s="440"/>
    </row>
    <row r="3" spans="1:4">
      <c r="A3" s="440" t="s">
        <v>1007</v>
      </c>
      <c r="B3" s="441"/>
      <c r="C3" s="441"/>
      <c r="D3" s="441"/>
    </row>
    <row r="4" spans="1:4">
      <c r="A4" s="440" t="s">
        <v>1008</v>
      </c>
      <c r="B4" s="441"/>
      <c r="C4" s="441"/>
      <c r="D4" s="441"/>
    </row>
    <row r="5" spans="1:4" ht="16.5">
      <c r="A5" s="440" t="s">
        <v>1009</v>
      </c>
      <c r="B5" s="440"/>
      <c r="C5" s="440"/>
      <c r="D5" s="440"/>
    </row>
    <row r="6" spans="1:4" ht="16.5">
      <c r="A6" s="440" t="s">
        <v>1010</v>
      </c>
      <c r="B6" s="440"/>
      <c r="C6" s="440"/>
      <c r="D6" s="440"/>
    </row>
    <row r="7" spans="1:4" ht="16.5">
      <c r="A7" s="440" t="s">
        <v>1011</v>
      </c>
      <c r="B7" s="440"/>
      <c r="C7" s="440"/>
      <c r="D7" s="440"/>
    </row>
    <row r="8" spans="1:4" ht="16.5">
      <c r="A8" s="440" t="s">
        <v>1012</v>
      </c>
      <c r="B8" s="440"/>
      <c r="C8" s="440"/>
      <c r="D8" s="440"/>
    </row>
    <row r="9" spans="1:4" ht="16.5">
      <c r="A9" s="440" t="s">
        <v>1013</v>
      </c>
      <c r="B9" s="440"/>
      <c r="C9" s="440"/>
      <c r="D9" s="440"/>
    </row>
    <row r="10" spans="1:4" ht="16.5">
      <c r="A10" s="440" t="s">
        <v>1014</v>
      </c>
      <c r="B10" s="440"/>
      <c r="C10" s="440"/>
      <c r="D10" s="440"/>
    </row>
    <row r="11" spans="1:4" ht="16.5">
      <c r="A11" s="440" t="s">
        <v>1015</v>
      </c>
      <c r="B11" s="440"/>
      <c r="C11" s="440"/>
      <c r="D11" s="440"/>
    </row>
    <row r="12" spans="1:4" ht="16.5">
      <c r="A12" s="440" t="s">
        <v>1016</v>
      </c>
      <c r="B12" s="440"/>
      <c r="C12" s="440"/>
      <c r="D12" s="440"/>
    </row>
    <row r="13" spans="1:4" ht="16.5">
      <c r="A13" s="440" t="s">
        <v>1017</v>
      </c>
      <c r="B13" s="440"/>
      <c r="C13" s="440"/>
      <c r="D13" s="440"/>
    </row>
    <row r="14" spans="1:4" ht="16.5">
      <c r="A14" s="440" t="s">
        <v>1018</v>
      </c>
      <c r="B14" s="440"/>
      <c r="C14" s="440"/>
      <c r="D14" s="440"/>
    </row>
    <row r="15" spans="1:4" ht="16.5">
      <c r="A15" s="440" t="s">
        <v>1019</v>
      </c>
      <c r="B15" s="440"/>
      <c r="C15" s="440"/>
      <c r="D15" s="440"/>
    </row>
    <row r="16" spans="1:4" ht="16.5">
      <c r="A16" s="440" t="s">
        <v>1020</v>
      </c>
      <c r="B16" s="440"/>
      <c r="C16" s="440"/>
      <c r="D16" s="440"/>
    </row>
    <row r="17" spans="1:4" ht="16.5">
      <c r="A17" s="440" t="s">
        <v>1021</v>
      </c>
      <c r="B17" s="440"/>
      <c r="C17" s="440"/>
      <c r="D17" s="440"/>
    </row>
    <row r="18" spans="1:4" ht="16.5">
      <c r="A18" s="440" t="s">
        <v>1022</v>
      </c>
      <c r="B18" s="440"/>
      <c r="C18" s="440"/>
      <c r="D18" s="440"/>
    </row>
    <row r="19" spans="1:4" ht="16.5">
      <c r="A19" s="440" t="s">
        <v>1023</v>
      </c>
      <c r="B19" s="440"/>
      <c r="C19" s="440"/>
      <c r="D19" s="440"/>
    </row>
    <row r="20" spans="1:4" ht="16.5">
      <c r="A20" s="440" t="s">
        <v>1024</v>
      </c>
      <c r="B20" s="440"/>
      <c r="C20" s="440"/>
      <c r="D20" s="440"/>
    </row>
    <row r="21" spans="1:4" ht="16.5">
      <c r="A21" s="440" t="s">
        <v>1025</v>
      </c>
      <c r="B21" s="440"/>
      <c r="C21" s="440"/>
      <c r="D21" s="440"/>
    </row>
    <row r="22" spans="1:4" ht="16.5">
      <c r="A22" s="440" t="s">
        <v>1026</v>
      </c>
      <c r="B22" s="440"/>
      <c r="C22" s="440"/>
      <c r="D22" s="440"/>
    </row>
    <row r="23" spans="1:4" ht="16.5">
      <c r="A23" s="440" t="s">
        <v>1027</v>
      </c>
      <c r="B23" s="440"/>
      <c r="C23" s="440"/>
      <c r="D23" s="440"/>
    </row>
    <row r="24" spans="1:4" ht="16.5">
      <c r="A24" s="440" t="s">
        <v>1028</v>
      </c>
      <c r="B24" s="440"/>
      <c r="C24" s="440"/>
      <c r="D24" s="440"/>
    </row>
    <row r="25" spans="1:4" ht="16.5">
      <c r="A25" s="440" t="s">
        <v>1029</v>
      </c>
      <c r="B25" s="440"/>
      <c r="C25" s="440"/>
      <c r="D25" s="440"/>
    </row>
    <row r="26" spans="1:4" ht="16.5">
      <c r="A26" s="440" t="s">
        <v>1030</v>
      </c>
      <c r="B26" s="440"/>
      <c r="C26" s="440"/>
      <c r="D26" s="440"/>
    </row>
    <row r="27" spans="1:4" ht="16.5">
      <c r="A27" s="440" t="s">
        <v>1031</v>
      </c>
      <c r="B27" s="440"/>
      <c r="C27" s="440"/>
      <c r="D27" s="440"/>
    </row>
    <row r="28" spans="1:4" ht="16.5">
      <c r="A28" s="440" t="s">
        <v>1032</v>
      </c>
      <c r="B28" s="440"/>
      <c r="C28" s="440"/>
      <c r="D28" s="440"/>
    </row>
    <row r="29" spans="1:4" ht="16.5">
      <c r="A29" s="440" t="s">
        <v>1033</v>
      </c>
      <c r="B29" s="440"/>
      <c r="C29" s="440"/>
      <c r="D29" s="440"/>
    </row>
    <row r="30" spans="1:4" ht="16.5">
      <c r="A30" s="440" t="s">
        <v>1034</v>
      </c>
      <c r="B30" s="440"/>
      <c r="C30" s="440"/>
      <c r="D30" s="440"/>
    </row>
    <row r="31" spans="1:4" ht="16.5">
      <c r="A31" s="440" t="s">
        <v>1035</v>
      </c>
      <c r="B31" s="440"/>
      <c r="C31" s="440"/>
      <c r="D31" s="440"/>
    </row>
    <row r="32" spans="1:4" ht="16.5">
      <c r="A32" s="440" t="s">
        <v>1036</v>
      </c>
      <c r="B32" s="440"/>
      <c r="C32" s="440"/>
      <c r="D32" s="440"/>
    </row>
    <row r="33" spans="1:4" ht="16.5">
      <c r="A33" s="440" t="s">
        <v>1037</v>
      </c>
      <c r="B33" s="440"/>
      <c r="C33" s="440"/>
      <c r="D33" s="440"/>
    </row>
    <row r="34" spans="1:4" ht="16.5">
      <c r="A34" s="440" t="s">
        <v>1038</v>
      </c>
      <c r="B34" s="440"/>
      <c r="C34" s="440"/>
      <c r="D34" s="440"/>
    </row>
    <row r="35" spans="1:4" ht="16.5">
      <c r="A35" s="440" t="s">
        <v>1039</v>
      </c>
      <c r="B35" s="440"/>
      <c r="C35" s="440"/>
      <c r="D35" s="440"/>
    </row>
    <row r="36" spans="1:4" ht="16.5">
      <c r="A36" s="440" t="s">
        <v>1040</v>
      </c>
      <c r="B36" s="440"/>
      <c r="C36" s="440"/>
      <c r="D36" s="440"/>
    </row>
    <row r="37" spans="1:4" ht="16.5">
      <c r="A37" s="440" t="s">
        <v>1041</v>
      </c>
      <c r="B37" s="440"/>
      <c r="C37" s="440"/>
      <c r="D37" s="440"/>
    </row>
    <row r="38" spans="1:4" ht="16.5">
      <c r="A38" s="440" t="s">
        <v>1042</v>
      </c>
      <c r="B38" s="440"/>
      <c r="C38" s="440"/>
      <c r="D38" s="440"/>
    </row>
    <row r="39" spans="1:4" ht="16.5">
      <c r="A39" s="440" t="s">
        <v>1043</v>
      </c>
      <c r="B39" s="440"/>
      <c r="C39" s="440"/>
      <c r="D39" s="440"/>
    </row>
    <row r="40" spans="1:4" ht="16.5">
      <c r="A40" s="440" t="s">
        <v>1044</v>
      </c>
      <c r="B40" s="440"/>
      <c r="C40" s="440"/>
      <c r="D40" s="440"/>
    </row>
    <row r="41" spans="1:4" ht="16.5">
      <c r="A41" s="440" t="s">
        <v>1045</v>
      </c>
      <c r="B41" s="440"/>
      <c r="C41" s="440"/>
      <c r="D41" s="440"/>
    </row>
    <row r="42" spans="1:4" ht="16.5">
      <c r="A42" s="440" t="s">
        <v>1046</v>
      </c>
      <c r="B42" s="440"/>
      <c r="C42" s="440"/>
      <c r="D42" s="440"/>
    </row>
    <row r="43" spans="1:4" ht="16.5">
      <c r="A43" s="440" t="s">
        <v>1047</v>
      </c>
      <c r="B43" s="440"/>
      <c r="C43" s="440"/>
      <c r="D43" s="440"/>
    </row>
    <row r="44" spans="1:4" ht="16.5">
      <c r="A44" s="440" t="s">
        <v>1017</v>
      </c>
      <c r="B44" s="440"/>
      <c r="C44" s="440"/>
      <c r="D44" s="440"/>
    </row>
    <row r="45" spans="1:4" ht="16.5">
      <c r="A45" s="440" t="s">
        <v>1048</v>
      </c>
      <c r="B45" s="440"/>
      <c r="C45" s="440"/>
      <c r="D45" s="440"/>
    </row>
    <row r="46" spans="1:4" ht="16.5">
      <c r="A46" s="440" t="s">
        <v>1049</v>
      </c>
      <c r="B46" s="440"/>
      <c r="C46" s="440"/>
      <c r="D46" s="440"/>
    </row>
    <row r="47" spans="1:4" ht="16.5">
      <c r="A47" s="440" t="s">
        <v>1050</v>
      </c>
      <c r="B47" s="440"/>
      <c r="C47" s="440"/>
      <c r="D47" s="440"/>
    </row>
    <row r="48" spans="1:4" ht="16.5">
      <c r="A48" s="440" t="s">
        <v>1051</v>
      </c>
      <c r="B48" s="440"/>
      <c r="C48" s="440"/>
      <c r="D48" s="440"/>
    </row>
    <row r="49" spans="1:4" ht="16.5">
      <c r="A49" s="440" t="str">
        <f>A14</f>
        <v>- Sơn cầu thép và kết cấu cầu thép TC và NT: 22TCN 253– 98</v>
      </c>
      <c r="B49" s="440"/>
      <c r="C49" s="440"/>
      <c r="D49" s="440"/>
    </row>
  </sheetData>
  <mergeCells count="49">
    <mergeCell ref="A49:D49"/>
    <mergeCell ref="A43:D43"/>
    <mergeCell ref="A44:D44"/>
    <mergeCell ref="A45:D45"/>
    <mergeCell ref="A46:D46"/>
    <mergeCell ref="A47:D47"/>
    <mergeCell ref="A48:D48"/>
    <mergeCell ref="A42:D42"/>
    <mergeCell ref="A31:D31"/>
    <mergeCell ref="A32:D32"/>
    <mergeCell ref="A33:D33"/>
    <mergeCell ref="A34:D34"/>
    <mergeCell ref="A35:D35"/>
    <mergeCell ref="A36:D36"/>
    <mergeCell ref="A37:D37"/>
    <mergeCell ref="A38:D38"/>
    <mergeCell ref="A39:D39"/>
    <mergeCell ref="A40:D40"/>
    <mergeCell ref="A41:D41"/>
    <mergeCell ref="A30:D30"/>
    <mergeCell ref="A19:D19"/>
    <mergeCell ref="A20:D20"/>
    <mergeCell ref="A21:D21"/>
    <mergeCell ref="A22:D22"/>
    <mergeCell ref="A23:D23"/>
    <mergeCell ref="A24:D24"/>
    <mergeCell ref="A25:D25"/>
    <mergeCell ref="A7:D7"/>
    <mergeCell ref="A8:D8"/>
    <mergeCell ref="A9:D9"/>
    <mergeCell ref="A10:D10"/>
    <mergeCell ref="A11:D11"/>
    <mergeCell ref="A17:D17"/>
    <mergeCell ref="A26:D26"/>
    <mergeCell ref="A27:D27"/>
    <mergeCell ref="A28:D28"/>
    <mergeCell ref="A29:D29"/>
    <mergeCell ref="A18:D18"/>
    <mergeCell ref="A12:D12"/>
    <mergeCell ref="A13:D13"/>
    <mergeCell ref="A14:D14"/>
    <mergeCell ref="A15:D15"/>
    <mergeCell ref="A16:D16"/>
    <mergeCell ref="A6:D6"/>
    <mergeCell ref="A1:D1"/>
    <mergeCell ref="A2:D2"/>
    <mergeCell ref="A3:D3"/>
    <mergeCell ref="A4:D4"/>
    <mergeCell ref="A5:D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G89"/>
  <sheetViews>
    <sheetView zoomScale="70" zoomScaleNormal="70" workbookViewId="0">
      <selection activeCell="F12" sqref="F12"/>
    </sheetView>
  </sheetViews>
  <sheetFormatPr defaultRowHeight="15"/>
  <cols>
    <col min="1" max="1" width="23.125" style="28" customWidth="1"/>
    <col min="2" max="2" width="55" style="28" customWidth="1"/>
    <col min="3" max="3" width="1.75" style="32" customWidth="1"/>
    <col min="4" max="4" width="1.75" style="46" customWidth="1"/>
    <col min="5" max="5" width="23.125" style="28" customWidth="1"/>
    <col min="6" max="6" width="55" style="28" customWidth="1"/>
    <col min="7" max="7" width="9" style="32"/>
    <col min="8" max="16384" width="9" style="28"/>
  </cols>
  <sheetData>
    <row r="1" spans="1:7" ht="16.5">
      <c r="A1" s="444" t="s">
        <v>863</v>
      </c>
      <c r="B1" s="445"/>
      <c r="C1" s="132"/>
      <c r="D1" s="51"/>
      <c r="E1" s="444" t="s">
        <v>863</v>
      </c>
      <c r="F1" s="445"/>
    </row>
    <row r="2" spans="1:7" ht="16.5">
      <c r="A2" s="446" t="s">
        <v>864</v>
      </c>
      <c r="B2" s="447"/>
      <c r="C2" s="130"/>
      <c r="D2" s="45"/>
      <c r="E2" s="446" t="s">
        <v>864</v>
      </c>
      <c r="F2" s="447"/>
    </row>
    <row r="3" spans="1:7" ht="16.5">
      <c r="A3" s="446" t="s">
        <v>861</v>
      </c>
      <c r="B3" s="447"/>
      <c r="C3" s="130"/>
      <c r="D3" s="45"/>
      <c r="E3" s="446" t="s">
        <v>861</v>
      </c>
      <c r="F3" s="447"/>
    </row>
    <row r="4" spans="1:7" ht="16.5">
      <c r="A4" s="446" t="s">
        <v>862</v>
      </c>
      <c r="B4" s="447"/>
      <c r="C4" s="130"/>
      <c r="D4" s="45"/>
      <c r="E4" s="446" t="s">
        <v>862</v>
      </c>
      <c r="F4" s="447"/>
    </row>
    <row r="5" spans="1:7" ht="7.5" customHeight="1">
      <c r="A5" s="32"/>
      <c r="B5" s="39"/>
      <c r="E5" s="32"/>
      <c r="F5" s="33"/>
    </row>
    <row r="6" spans="1:7" ht="19.5">
      <c r="A6" s="448" t="s">
        <v>860</v>
      </c>
      <c r="B6" s="449"/>
      <c r="C6" s="131"/>
      <c r="D6" s="47"/>
      <c r="E6" s="448" t="s">
        <v>860</v>
      </c>
      <c r="F6" s="449"/>
    </row>
    <row r="7" spans="1:7" ht="7.5" customHeight="1">
      <c r="A7" s="32"/>
      <c r="B7" s="39"/>
      <c r="E7" s="32"/>
      <c r="F7" s="33"/>
    </row>
    <row r="8" spans="1:7" ht="19.5" customHeight="1">
      <c r="A8" s="29" t="s">
        <v>865</v>
      </c>
      <c r="B8" s="43"/>
      <c r="C8" s="44"/>
      <c r="D8" s="48"/>
      <c r="E8" s="29" t="s">
        <v>865</v>
      </c>
      <c r="F8" s="29"/>
    </row>
    <row r="9" spans="1:7" ht="19.5" customHeight="1">
      <c r="A9" s="29" t="s">
        <v>866</v>
      </c>
      <c r="B9" s="43"/>
      <c r="C9" s="44"/>
      <c r="D9" s="48"/>
      <c r="E9" s="29" t="s">
        <v>866</v>
      </c>
      <c r="F9" s="29"/>
    </row>
    <row r="10" spans="1:7" ht="19.5" customHeight="1">
      <c r="A10" s="29" t="s">
        <v>1057</v>
      </c>
      <c r="B10" s="43" t="s">
        <v>1058</v>
      </c>
      <c r="C10" s="44"/>
      <c r="D10" s="48"/>
      <c r="E10" s="29" t="s">
        <v>1057</v>
      </c>
      <c r="F10" s="29" t="s">
        <v>1058</v>
      </c>
    </row>
    <row r="11" spans="1:7" ht="19.5" customHeight="1">
      <c r="A11" s="29" t="s">
        <v>867</v>
      </c>
      <c r="B11" s="43"/>
      <c r="C11" s="44"/>
      <c r="D11" s="48"/>
      <c r="E11" s="29" t="s">
        <v>867</v>
      </c>
      <c r="F11" s="29"/>
    </row>
    <row r="12" spans="1:7" ht="19.5" customHeight="1">
      <c r="A12" s="29" t="s">
        <v>1056</v>
      </c>
      <c r="B12" s="29" t="s">
        <v>1059</v>
      </c>
      <c r="C12" s="44"/>
      <c r="D12" s="48"/>
      <c r="E12" s="29" t="s">
        <v>1056</v>
      </c>
      <c r="F12" s="29" t="s">
        <v>1059</v>
      </c>
    </row>
    <row r="13" spans="1:7" ht="19.5" customHeight="1">
      <c r="A13" s="442" t="s">
        <v>1060</v>
      </c>
      <c r="B13" s="443"/>
      <c r="E13" s="442" t="s">
        <v>1060</v>
      </c>
      <c r="F13" s="443"/>
    </row>
    <row r="14" spans="1:7" ht="17.25" customHeight="1">
      <c r="A14" s="44"/>
      <c r="B14" s="133"/>
      <c r="E14" s="44"/>
      <c r="F14" s="134"/>
    </row>
    <row r="15" spans="1:7" s="30" customFormat="1" ht="33">
      <c r="A15" s="31" t="s">
        <v>870</v>
      </c>
      <c r="B15" s="40" t="s">
        <v>872</v>
      </c>
      <c r="C15" s="31"/>
      <c r="D15" s="49"/>
      <c r="E15" s="31" t="s">
        <v>870</v>
      </c>
      <c r="F15" s="34" t="s">
        <v>872</v>
      </c>
      <c r="G15" s="52"/>
    </row>
    <row r="16" spans="1:7">
      <c r="A16" s="35"/>
      <c r="B16" s="41"/>
      <c r="C16" s="35"/>
      <c r="D16" s="50"/>
      <c r="E16" s="35"/>
      <c r="F16" s="36"/>
    </row>
    <row r="17" spans="1:7">
      <c r="A17" s="35"/>
      <c r="B17" s="41"/>
      <c r="C17" s="35"/>
      <c r="D17" s="50"/>
      <c r="E17" s="35"/>
      <c r="F17" s="36"/>
    </row>
    <row r="18" spans="1:7">
      <c r="A18" s="35"/>
      <c r="B18" s="41"/>
      <c r="C18" s="35"/>
      <c r="D18" s="50"/>
      <c r="E18" s="35"/>
      <c r="F18" s="36"/>
    </row>
    <row r="19" spans="1:7">
      <c r="A19" s="35"/>
      <c r="B19" s="41"/>
      <c r="C19" s="35"/>
      <c r="D19" s="50"/>
      <c r="E19" s="35"/>
      <c r="F19" s="36"/>
    </row>
    <row r="20" spans="1:7" ht="16.5">
      <c r="A20" s="31" t="s">
        <v>868</v>
      </c>
      <c r="B20" s="40" t="s">
        <v>869</v>
      </c>
      <c r="C20" s="31"/>
      <c r="D20" s="49"/>
      <c r="E20" s="31" t="s">
        <v>868</v>
      </c>
      <c r="F20" s="34" t="s">
        <v>869</v>
      </c>
    </row>
    <row r="21" spans="1:7">
      <c r="A21" s="32"/>
      <c r="B21" s="39"/>
      <c r="E21" s="32"/>
      <c r="F21" s="33"/>
    </row>
    <row r="22" spans="1:7">
      <c r="A22" s="32"/>
      <c r="B22" s="39"/>
      <c r="E22" s="32"/>
      <c r="F22" s="33"/>
    </row>
    <row r="23" spans="1:7">
      <c r="A23" s="32"/>
      <c r="B23" s="39"/>
      <c r="E23" s="32"/>
      <c r="F23" s="33"/>
    </row>
    <row r="24" spans="1:7" s="42" customFormat="1">
      <c r="A24" s="37"/>
      <c r="C24" s="32"/>
      <c r="D24" s="46"/>
      <c r="E24" s="37"/>
      <c r="F24" s="38"/>
      <c r="G24" s="37"/>
    </row>
    <row r="25" spans="1:7" ht="9.75" customHeight="1">
      <c r="A25" s="37"/>
      <c r="B25" s="42"/>
      <c r="C25" s="39"/>
      <c r="D25" s="39"/>
      <c r="E25" s="42"/>
      <c r="F25" s="38"/>
    </row>
    <row r="26" spans="1:7" ht="9.75" customHeight="1">
      <c r="A26" s="32"/>
      <c r="B26" s="39"/>
      <c r="C26" s="39"/>
      <c r="D26" s="39"/>
      <c r="E26" s="39"/>
      <c r="F26" s="33"/>
    </row>
    <row r="27" spans="1:7" ht="16.5">
      <c r="A27" s="444" t="s">
        <v>863</v>
      </c>
      <c r="B27" s="445"/>
      <c r="C27" s="130"/>
      <c r="D27" s="45"/>
      <c r="E27" s="444" t="s">
        <v>863</v>
      </c>
      <c r="F27" s="445"/>
    </row>
    <row r="28" spans="1:7" ht="16.5">
      <c r="A28" s="446" t="s">
        <v>864</v>
      </c>
      <c r="B28" s="447"/>
      <c r="C28" s="130"/>
      <c r="D28" s="45"/>
      <c r="E28" s="446" t="s">
        <v>864</v>
      </c>
      <c r="F28" s="447"/>
    </row>
    <row r="29" spans="1:7" ht="16.5">
      <c r="A29" s="446" t="s">
        <v>861</v>
      </c>
      <c r="B29" s="447"/>
      <c r="C29" s="130"/>
      <c r="D29" s="45"/>
      <c r="E29" s="446" t="s">
        <v>861</v>
      </c>
      <c r="F29" s="447"/>
    </row>
    <row r="30" spans="1:7" ht="16.5">
      <c r="A30" s="446" t="s">
        <v>862</v>
      </c>
      <c r="B30" s="447"/>
      <c r="C30" s="130"/>
      <c r="D30" s="45"/>
      <c r="E30" s="446" t="s">
        <v>862</v>
      </c>
      <c r="F30" s="447"/>
    </row>
    <row r="31" spans="1:7" ht="7.5" customHeight="1">
      <c r="A31" s="32"/>
      <c r="B31" s="39"/>
      <c r="E31" s="32"/>
      <c r="F31" s="33"/>
    </row>
    <row r="32" spans="1:7" ht="19.5">
      <c r="A32" s="448" t="s">
        <v>860</v>
      </c>
      <c r="B32" s="449"/>
      <c r="C32" s="131"/>
      <c r="D32" s="47"/>
      <c r="E32" s="448" t="s">
        <v>860</v>
      </c>
      <c r="F32" s="449"/>
    </row>
    <row r="33" spans="1:7" ht="7.5" customHeight="1">
      <c r="A33" s="32"/>
      <c r="B33" s="39"/>
      <c r="E33" s="32"/>
      <c r="F33" s="33"/>
    </row>
    <row r="34" spans="1:7" ht="19.5" customHeight="1">
      <c r="A34" s="29" t="s">
        <v>865</v>
      </c>
      <c r="B34" s="43"/>
      <c r="C34" s="44"/>
      <c r="D34" s="48"/>
      <c r="E34" s="29" t="s">
        <v>865</v>
      </c>
      <c r="F34" s="29"/>
    </row>
    <row r="35" spans="1:7" ht="19.5" customHeight="1">
      <c r="A35" s="29" t="s">
        <v>866</v>
      </c>
      <c r="B35" s="43"/>
      <c r="C35" s="44"/>
      <c r="D35" s="48"/>
      <c r="E35" s="29" t="s">
        <v>866</v>
      </c>
      <c r="F35" s="29"/>
    </row>
    <row r="36" spans="1:7" ht="19.5" customHeight="1">
      <c r="A36" s="29" t="s">
        <v>1057</v>
      </c>
      <c r="B36" s="43" t="s">
        <v>1058</v>
      </c>
      <c r="C36" s="44"/>
      <c r="D36" s="48"/>
      <c r="E36" s="29" t="s">
        <v>1057</v>
      </c>
      <c r="F36" s="29" t="s">
        <v>1058</v>
      </c>
    </row>
    <row r="37" spans="1:7" ht="19.5" customHeight="1">
      <c r="A37" s="29" t="s">
        <v>867</v>
      </c>
      <c r="B37" s="43"/>
      <c r="C37" s="44"/>
      <c r="D37" s="48"/>
      <c r="E37" s="29" t="s">
        <v>867</v>
      </c>
      <c r="F37" s="29"/>
    </row>
    <row r="38" spans="1:7" ht="19.5" customHeight="1">
      <c r="A38" s="29" t="s">
        <v>1056</v>
      </c>
      <c r="B38" s="29" t="s">
        <v>1059</v>
      </c>
      <c r="C38" s="44"/>
      <c r="D38" s="48"/>
      <c r="E38" s="29" t="s">
        <v>1056</v>
      </c>
      <c r="F38" s="29" t="s">
        <v>1059</v>
      </c>
    </row>
    <row r="39" spans="1:7" ht="19.5" customHeight="1">
      <c r="A39" s="442" t="s">
        <v>1060</v>
      </c>
      <c r="B39" s="443"/>
      <c r="E39" s="442" t="s">
        <v>1060</v>
      </c>
      <c r="F39" s="443"/>
    </row>
    <row r="40" spans="1:7" ht="17.25" customHeight="1">
      <c r="A40" s="44"/>
      <c r="B40" s="133"/>
      <c r="E40" s="44"/>
      <c r="F40" s="134"/>
    </row>
    <row r="41" spans="1:7" s="30" customFormat="1" ht="33">
      <c r="A41" s="31" t="s">
        <v>870</v>
      </c>
      <c r="B41" s="40" t="s">
        <v>872</v>
      </c>
      <c r="C41" s="31"/>
      <c r="D41" s="49"/>
      <c r="E41" s="31" t="s">
        <v>870</v>
      </c>
      <c r="F41" s="34" t="s">
        <v>872</v>
      </c>
      <c r="G41" s="52"/>
    </row>
    <row r="42" spans="1:7">
      <c r="A42" s="35"/>
      <c r="B42" s="41"/>
      <c r="C42" s="35"/>
      <c r="D42" s="50"/>
      <c r="E42" s="35"/>
      <c r="F42" s="36"/>
    </row>
    <row r="43" spans="1:7">
      <c r="A43" s="35"/>
      <c r="B43" s="41"/>
      <c r="C43" s="35"/>
      <c r="D43" s="50"/>
      <c r="E43" s="35"/>
      <c r="F43" s="36"/>
    </row>
    <row r="44" spans="1:7">
      <c r="A44" s="35"/>
      <c r="B44" s="41"/>
      <c r="C44" s="35"/>
      <c r="D44" s="50"/>
      <c r="E44" s="35"/>
      <c r="F44" s="36"/>
    </row>
    <row r="45" spans="1:7">
      <c r="A45" s="35"/>
      <c r="B45" s="41"/>
      <c r="C45" s="35"/>
      <c r="D45" s="50"/>
      <c r="E45" s="35"/>
      <c r="F45" s="36"/>
    </row>
    <row r="46" spans="1:7" ht="16.5">
      <c r="A46" s="31" t="s">
        <v>868</v>
      </c>
      <c r="B46" s="40" t="s">
        <v>869</v>
      </c>
      <c r="C46" s="31"/>
      <c r="D46" s="49"/>
      <c r="E46" s="31" t="s">
        <v>868</v>
      </c>
      <c r="F46" s="34" t="s">
        <v>869</v>
      </c>
    </row>
    <row r="47" spans="1:7">
      <c r="A47" s="32"/>
      <c r="B47" s="39"/>
      <c r="E47" s="32"/>
      <c r="F47" s="33"/>
    </row>
    <row r="48" spans="1:7">
      <c r="A48" s="32"/>
      <c r="B48" s="39"/>
      <c r="E48" s="32"/>
      <c r="F48" s="33"/>
    </row>
    <row r="49" spans="1:7">
      <c r="A49" s="32"/>
      <c r="B49" s="39"/>
      <c r="E49" s="32"/>
      <c r="F49" s="33"/>
    </row>
    <row r="50" spans="1:7" s="42" customFormat="1">
      <c r="A50" s="37"/>
      <c r="C50" s="32"/>
      <c r="D50" s="46"/>
      <c r="E50" s="37"/>
      <c r="F50" s="38"/>
      <c r="G50" s="37"/>
    </row>
    <row r="51" spans="1:7" ht="9.75" customHeight="1">
      <c r="A51" s="37"/>
      <c r="B51" s="42"/>
      <c r="C51" s="39"/>
      <c r="D51" s="39"/>
      <c r="E51" s="42"/>
      <c r="F51" s="38"/>
    </row>
    <row r="52" spans="1:7" ht="9.75" customHeight="1">
      <c r="A52" s="32"/>
      <c r="B52" s="39"/>
      <c r="C52" s="39"/>
      <c r="D52" s="39"/>
      <c r="E52" s="39"/>
      <c r="F52" s="33"/>
    </row>
    <row r="53" spans="1:7" ht="16.5">
      <c r="A53" s="444" t="s">
        <v>863</v>
      </c>
      <c r="B53" s="445"/>
      <c r="C53" s="130"/>
      <c r="D53" s="45"/>
      <c r="E53" s="444" t="s">
        <v>863</v>
      </c>
      <c r="F53" s="445"/>
    </row>
    <row r="54" spans="1:7" ht="16.5">
      <c r="A54" s="446" t="s">
        <v>864</v>
      </c>
      <c r="B54" s="447"/>
      <c r="C54" s="130"/>
      <c r="D54" s="45"/>
      <c r="E54" s="446" t="s">
        <v>864</v>
      </c>
      <c r="F54" s="447"/>
    </row>
    <row r="55" spans="1:7" ht="16.5">
      <c r="A55" s="446" t="s">
        <v>861</v>
      </c>
      <c r="B55" s="447"/>
      <c r="C55" s="130"/>
      <c r="D55" s="45"/>
      <c r="E55" s="446" t="s">
        <v>861</v>
      </c>
      <c r="F55" s="447"/>
    </row>
    <row r="56" spans="1:7" ht="16.5">
      <c r="A56" s="446" t="s">
        <v>862</v>
      </c>
      <c r="B56" s="447"/>
      <c r="C56" s="130"/>
      <c r="D56" s="45"/>
      <c r="E56" s="446" t="s">
        <v>862</v>
      </c>
      <c r="F56" s="447"/>
    </row>
    <row r="57" spans="1:7" ht="7.5" customHeight="1">
      <c r="A57" s="32"/>
      <c r="B57" s="39"/>
      <c r="E57" s="32"/>
      <c r="F57" s="33"/>
    </row>
    <row r="58" spans="1:7" ht="19.5">
      <c r="A58" s="448" t="s">
        <v>860</v>
      </c>
      <c r="B58" s="449"/>
      <c r="C58" s="131"/>
      <c r="D58" s="47"/>
      <c r="E58" s="448" t="s">
        <v>860</v>
      </c>
      <c r="F58" s="449"/>
    </row>
    <row r="59" spans="1:7" ht="7.5" customHeight="1">
      <c r="A59" s="32"/>
      <c r="B59" s="39"/>
      <c r="E59" s="32"/>
      <c r="F59" s="33"/>
    </row>
    <row r="60" spans="1:7" ht="19.5" customHeight="1">
      <c r="A60" s="29" t="s">
        <v>865</v>
      </c>
      <c r="B60" s="43"/>
      <c r="C60" s="44"/>
      <c r="D60" s="48"/>
      <c r="E60" s="29" t="s">
        <v>865</v>
      </c>
      <c r="F60" s="29"/>
    </row>
    <row r="61" spans="1:7" ht="19.5" customHeight="1">
      <c r="A61" s="29" t="s">
        <v>866</v>
      </c>
      <c r="B61" s="43"/>
      <c r="C61" s="44"/>
      <c r="D61" s="48"/>
      <c r="E61" s="29" t="s">
        <v>866</v>
      </c>
      <c r="F61" s="29"/>
    </row>
    <row r="62" spans="1:7" ht="19.5" customHeight="1">
      <c r="A62" s="29" t="s">
        <v>1057</v>
      </c>
      <c r="B62" s="43" t="s">
        <v>1058</v>
      </c>
      <c r="C62" s="44"/>
      <c r="D62" s="48"/>
      <c r="E62" s="29" t="s">
        <v>1057</v>
      </c>
      <c r="F62" s="29" t="s">
        <v>1058</v>
      </c>
    </row>
    <row r="63" spans="1:7" ht="19.5" customHeight="1">
      <c r="A63" s="29" t="s">
        <v>867</v>
      </c>
      <c r="B63" s="43"/>
      <c r="C63" s="44"/>
      <c r="D63" s="48"/>
      <c r="E63" s="29" t="s">
        <v>867</v>
      </c>
      <c r="F63" s="29"/>
    </row>
    <row r="64" spans="1:7" ht="19.5" customHeight="1">
      <c r="A64" s="29" t="s">
        <v>1056</v>
      </c>
      <c r="B64" s="29" t="s">
        <v>1059</v>
      </c>
      <c r="C64" s="44"/>
      <c r="D64" s="48"/>
      <c r="E64" s="29" t="s">
        <v>1056</v>
      </c>
      <c r="F64" s="29" t="s">
        <v>1059</v>
      </c>
    </row>
    <row r="65" spans="1:7" ht="19.5" customHeight="1">
      <c r="A65" s="442" t="s">
        <v>1060</v>
      </c>
      <c r="B65" s="443"/>
      <c r="E65" s="442" t="s">
        <v>1060</v>
      </c>
      <c r="F65" s="443"/>
    </row>
    <row r="66" spans="1:7" ht="17.25" customHeight="1">
      <c r="A66" s="44"/>
      <c r="B66" s="133"/>
      <c r="E66" s="44"/>
      <c r="F66" s="134"/>
    </row>
    <row r="67" spans="1:7" s="30" customFormat="1" ht="33">
      <c r="A67" s="31" t="s">
        <v>870</v>
      </c>
      <c r="B67" s="40" t="s">
        <v>872</v>
      </c>
      <c r="C67" s="31"/>
      <c r="D67" s="49"/>
      <c r="E67" s="31" t="s">
        <v>870</v>
      </c>
      <c r="F67" s="34" t="s">
        <v>872</v>
      </c>
      <c r="G67" s="52"/>
    </row>
    <row r="68" spans="1:7">
      <c r="A68" s="35"/>
      <c r="B68" s="41"/>
      <c r="C68" s="35"/>
      <c r="D68" s="50"/>
      <c r="E68" s="35"/>
      <c r="F68" s="36"/>
    </row>
    <row r="69" spans="1:7">
      <c r="A69" s="35"/>
      <c r="B69" s="41"/>
      <c r="C69" s="35"/>
      <c r="D69" s="50"/>
      <c r="E69" s="35"/>
      <c r="F69" s="36"/>
    </row>
    <row r="70" spans="1:7">
      <c r="A70" s="35"/>
      <c r="B70" s="41"/>
      <c r="C70" s="35"/>
      <c r="D70" s="50"/>
      <c r="E70" s="35"/>
      <c r="F70" s="36"/>
    </row>
    <row r="71" spans="1:7">
      <c r="A71" s="35"/>
      <c r="B71" s="41"/>
      <c r="C71" s="35"/>
      <c r="D71" s="50"/>
      <c r="E71" s="35"/>
      <c r="F71" s="36"/>
    </row>
    <row r="72" spans="1:7" ht="16.5">
      <c r="A72" s="31" t="s">
        <v>868</v>
      </c>
      <c r="B72" s="40" t="s">
        <v>869</v>
      </c>
      <c r="C72" s="31"/>
      <c r="D72" s="49"/>
      <c r="E72" s="31" t="s">
        <v>868</v>
      </c>
      <c r="F72" s="34" t="s">
        <v>869</v>
      </c>
    </row>
    <row r="73" spans="1:7">
      <c r="A73" s="32"/>
      <c r="B73" s="39"/>
      <c r="E73" s="32"/>
      <c r="F73" s="33"/>
    </row>
    <row r="74" spans="1:7">
      <c r="A74" s="32"/>
      <c r="B74" s="39"/>
      <c r="E74" s="32"/>
      <c r="F74" s="33"/>
    </row>
    <row r="75" spans="1:7">
      <c r="A75" s="32"/>
      <c r="B75" s="39"/>
      <c r="E75" s="32"/>
      <c r="F75" s="33"/>
    </row>
    <row r="76" spans="1:7" s="42" customFormat="1">
      <c r="A76" s="37"/>
      <c r="C76" s="32"/>
      <c r="D76" s="46"/>
      <c r="E76" s="37"/>
      <c r="F76" s="38"/>
      <c r="G76" s="37"/>
    </row>
    <row r="77" spans="1:7">
      <c r="A77" s="32"/>
      <c r="B77" s="39"/>
      <c r="C77" s="39"/>
      <c r="D77" s="39"/>
      <c r="E77" s="39"/>
      <c r="F77" s="33"/>
    </row>
    <row r="78" spans="1:7">
      <c r="A78" s="32"/>
      <c r="B78" s="39"/>
      <c r="C78" s="39"/>
      <c r="D78" s="39"/>
      <c r="E78" s="39"/>
      <c r="F78" s="33"/>
    </row>
    <row r="79" spans="1:7">
      <c r="A79" s="32"/>
      <c r="B79" s="39"/>
      <c r="C79" s="39"/>
      <c r="D79" s="39"/>
      <c r="E79" s="39"/>
      <c r="F79" s="33"/>
    </row>
    <row r="80" spans="1:7">
      <c r="A80" s="32"/>
      <c r="B80" s="39"/>
      <c r="C80" s="39"/>
      <c r="D80" s="39"/>
      <c r="E80" s="39"/>
      <c r="F80" s="33"/>
    </row>
    <row r="81" spans="1:6">
      <c r="A81" s="32"/>
      <c r="B81" s="39"/>
      <c r="C81" s="39"/>
      <c r="D81" s="39"/>
      <c r="E81" s="39"/>
      <c r="F81" s="33"/>
    </row>
    <row r="82" spans="1:6">
      <c r="A82" s="32"/>
      <c r="B82" s="39"/>
      <c r="C82" s="39"/>
      <c r="D82" s="39"/>
      <c r="E82" s="39"/>
      <c r="F82" s="33"/>
    </row>
    <row r="83" spans="1:6">
      <c r="A83" s="32"/>
      <c r="B83" s="39"/>
      <c r="C83" s="39"/>
      <c r="D83" s="39"/>
      <c r="E83" s="39"/>
      <c r="F83" s="33"/>
    </row>
    <row r="84" spans="1:6">
      <c r="A84" s="32"/>
      <c r="B84" s="39"/>
      <c r="C84" s="39"/>
      <c r="D84" s="39"/>
      <c r="E84" s="39"/>
      <c r="F84" s="33"/>
    </row>
    <row r="85" spans="1:6">
      <c r="A85" s="32"/>
      <c r="B85" s="39"/>
      <c r="C85" s="39"/>
      <c r="D85" s="39"/>
      <c r="E85" s="39"/>
      <c r="F85" s="33"/>
    </row>
    <row r="86" spans="1:6">
      <c r="A86" s="32"/>
      <c r="B86" s="39"/>
      <c r="C86" s="39"/>
      <c r="D86" s="39"/>
      <c r="E86" s="39"/>
      <c r="F86" s="33"/>
    </row>
    <row r="87" spans="1:6">
      <c r="A87" s="32"/>
      <c r="B87" s="39"/>
      <c r="C87" s="39"/>
      <c r="D87" s="39"/>
      <c r="E87" s="39"/>
      <c r="F87" s="33"/>
    </row>
    <row r="88" spans="1:6">
      <c r="A88" s="32"/>
      <c r="B88" s="39"/>
      <c r="C88" s="39"/>
      <c r="D88" s="39"/>
      <c r="E88" s="39"/>
      <c r="F88" s="33"/>
    </row>
    <row r="89" spans="1:6">
      <c r="A89" s="37"/>
      <c r="B89" s="42"/>
      <c r="C89" s="42"/>
      <c r="D89" s="42"/>
      <c r="E89" s="42"/>
      <c r="F89" s="38"/>
    </row>
  </sheetData>
  <mergeCells count="36">
    <mergeCell ref="E6:F6"/>
    <mergeCell ref="A6:B6"/>
    <mergeCell ref="A1:B1"/>
    <mergeCell ref="A2:B2"/>
    <mergeCell ref="A3:B3"/>
    <mergeCell ref="A4:B4"/>
    <mergeCell ref="E1:F1"/>
    <mergeCell ref="E2:F2"/>
    <mergeCell ref="E3:F3"/>
    <mergeCell ref="E4:F4"/>
    <mergeCell ref="E30:F30"/>
    <mergeCell ref="E32:F32"/>
    <mergeCell ref="A39:B39"/>
    <mergeCell ref="E39:F39"/>
    <mergeCell ref="A56:B56"/>
    <mergeCell ref="A32:B32"/>
    <mergeCell ref="A53:B53"/>
    <mergeCell ref="A54:B54"/>
    <mergeCell ref="A55:B55"/>
    <mergeCell ref="A30:B30"/>
    <mergeCell ref="A13:B13"/>
    <mergeCell ref="E13:F13"/>
    <mergeCell ref="E27:F27"/>
    <mergeCell ref="E28:F28"/>
    <mergeCell ref="E29:F29"/>
    <mergeCell ref="A27:B27"/>
    <mergeCell ref="A28:B28"/>
    <mergeCell ref="A29:B29"/>
    <mergeCell ref="A65:B65"/>
    <mergeCell ref="E65:F65"/>
    <mergeCell ref="E53:F53"/>
    <mergeCell ref="E54:F54"/>
    <mergeCell ref="E55:F55"/>
    <mergeCell ref="E56:F56"/>
    <mergeCell ref="E58:F58"/>
    <mergeCell ref="A58:B58"/>
  </mergeCells>
  <pageMargins left="0.52" right="0.39370078740157483" top="0.97" bottom="0.43" header="0.31496062992125984" footer="0.31496062992125984"/>
  <pageSetup paperSize="9" scale="5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5"/>
  <sheetViews>
    <sheetView topLeftCell="A17" zoomScale="70" zoomScaleNormal="70" workbookViewId="0">
      <selection activeCell="F12" sqref="F12"/>
    </sheetView>
  </sheetViews>
  <sheetFormatPr defaultRowHeight="15"/>
  <cols>
    <col min="1" max="1" width="23.125" style="28" customWidth="1"/>
    <col min="2" max="2" width="55" style="28" customWidth="1"/>
    <col min="3" max="3" width="1.75" style="32" customWidth="1"/>
    <col min="4" max="4" width="1.75" style="46" customWidth="1"/>
    <col min="5" max="5" width="23.125" style="28" customWidth="1"/>
    <col min="6" max="6" width="55" style="28" customWidth="1"/>
    <col min="7" max="7" width="9" style="32"/>
    <col min="8" max="16384" width="9" style="28"/>
  </cols>
  <sheetData>
    <row r="1" spans="1:7" ht="16.5" hidden="1">
      <c r="A1" s="444" t="s">
        <v>863</v>
      </c>
      <c r="B1" s="445"/>
      <c r="C1" s="136"/>
      <c r="D1" s="51"/>
      <c r="E1" s="444" t="s">
        <v>863</v>
      </c>
      <c r="F1" s="445"/>
    </row>
    <row r="2" spans="1:7" ht="16.5" hidden="1">
      <c r="A2" s="446" t="s">
        <v>864</v>
      </c>
      <c r="B2" s="447"/>
      <c r="C2" s="137"/>
      <c r="D2" s="45"/>
      <c r="E2" s="446" t="s">
        <v>864</v>
      </c>
      <c r="F2" s="447"/>
    </row>
    <row r="3" spans="1:7" ht="16.5" hidden="1">
      <c r="A3" s="446" t="s">
        <v>861</v>
      </c>
      <c r="B3" s="447"/>
      <c r="C3" s="137"/>
      <c r="D3" s="45"/>
      <c r="E3" s="446" t="s">
        <v>861</v>
      </c>
      <c r="F3" s="447"/>
    </row>
    <row r="4" spans="1:7" ht="16.5" hidden="1">
      <c r="A4" s="446" t="s">
        <v>862</v>
      </c>
      <c r="B4" s="447"/>
      <c r="C4" s="137"/>
      <c r="D4" s="45"/>
      <c r="E4" s="446" t="s">
        <v>862</v>
      </c>
      <c r="F4" s="447"/>
    </row>
    <row r="5" spans="1:7" ht="7.5" customHeight="1">
      <c r="A5" s="32"/>
      <c r="B5" s="39"/>
      <c r="E5" s="32"/>
      <c r="F5" s="39"/>
    </row>
    <row r="6" spans="1:7" ht="19.5">
      <c r="A6" s="448" t="s">
        <v>1061</v>
      </c>
      <c r="B6" s="449"/>
      <c r="C6" s="135"/>
      <c r="D6" s="47"/>
      <c r="E6" s="448" t="s">
        <v>1061</v>
      </c>
      <c r="F6" s="449"/>
    </row>
    <row r="7" spans="1:7" ht="7.5" customHeight="1">
      <c r="A7" s="32"/>
      <c r="B7" s="39"/>
      <c r="E7" s="32"/>
      <c r="F7" s="39"/>
    </row>
    <row r="8" spans="1:7" ht="19.5" customHeight="1">
      <c r="A8" s="29" t="s">
        <v>865</v>
      </c>
      <c r="B8" s="43"/>
      <c r="C8" s="44"/>
      <c r="D8" s="48"/>
      <c r="E8" s="29" t="s">
        <v>865</v>
      </c>
      <c r="F8" s="43"/>
    </row>
    <row r="9" spans="1:7" ht="19.5" customHeight="1">
      <c r="A9" s="29" t="s">
        <v>866</v>
      </c>
      <c r="B9" s="43"/>
      <c r="C9" s="44"/>
      <c r="D9" s="48"/>
      <c r="E9" s="29" t="s">
        <v>866</v>
      </c>
      <c r="F9" s="43"/>
    </row>
    <row r="10" spans="1:7" ht="19.5" customHeight="1">
      <c r="A10" s="29" t="s">
        <v>1057</v>
      </c>
      <c r="B10" s="43" t="s">
        <v>1058</v>
      </c>
      <c r="C10" s="44"/>
      <c r="D10" s="48"/>
      <c r="E10" s="29" t="s">
        <v>1057</v>
      </c>
      <c r="F10" s="43" t="s">
        <v>1058</v>
      </c>
    </row>
    <row r="11" spans="1:7" ht="19.5" customHeight="1">
      <c r="A11" s="29" t="s">
        <v>1062</v>
      </c>
      <c r="B11" s="43"/>
      <c r="C11" s="44"/>
      <c r="D11" s="48"/>
      <c r="E11" s="29" t="s">
        <v>1062</v>
      </c>
      <c r="F11" s="43"/>
    </row>
    <row r="12" spans="1:7" ht="19.5" customHeight="1">
      <c r="A12" s="29" t="s">
        <v>1056</v>
      </c>
      <c r="B12" s="29" t="s">
        <v>1059</v>
      </c>
      <c r="C12" s="44"/>
      <c r="D12" s="48"/>
      <c r="E12" s="29" t="s">
        <v>1056</v>
      </c>
      <c r="F12" s="43" t="s">
        <v>1059</v>
      </c>
    </row>
    <row r="13" spans="1:7" ht="19.5" customHeight="1">
      <c r="A13" s="442" t="s">
        <v>1060</v>
      </c>
      <c r="B13" s="443"/>
      <c r="E13" s="442" t="s">
        <v>1060</v>
      </c>
      <c r="F13" s="443"/>
    </row>
    <row r="14" spans="1:7" ht="17.25" customHeight="1">
      <c r="A14" s="44"/>
      <c r="B14" s="133"/>
      <c r="E14" s="44"/>
      <c r="F14" s="133"/>
    </row>
    <row r="15" spans="1:7" s="30" customFormat="1" ht="33">
      <c r="A15" s="31" t="s">
        <v>870</v>
      </c>
      <c r="B15" s="40" t="s">
        <v>872</v>
      </c>
      <c r="C15" s="31"/>
      <c r="D15" s="49"/>
      <c r="E15" s="31" t="s">
        <v>870</v>
      </c>
      <c r="F15" s="40" t="s">
        <v>872</v>
      </c>
      <c r="G15" s="52"/>
    </row>
    <row r="16" spans="1:7">
      <c r="A16" s="35"/>
      <c r="B16" s="41"/>
      <c r="C16" s="35"/>
      <c r="D16" s="50"/>
      <c r="E16" s="35"/>
      <c r="F16" s="41"/>
    </row>
    <row r="17" spans="1:7">
      <c r="A17" s="35"/>
      <c r="B17" s="41"/>
      <c r="C17" s="35"/>
      <c r="D17" s="50"/>
      <c r="E17" s="35"/>
      <c r="F17" s="41"/>
    </row>
    <row r="18" spans="1:7">
      <c r="A18" s="35"/>
      <c r="B18" s="41"/>
      <c r="C18" s="35"/>
      <c r="D18" s="50"/>
      <c r="E18" s="35"/>
      <c r="F18" s="41"/>
    </row>
    <row r="19" spans="1:7">
      <c r="A19" s="35"/>
      <c r="B19" s="41"/>
      <c r="C19" s="35"/>
      <c r="D19" s="50"/>
      <c r="E19" s="35"/>
      <c r="F19" s="41"/>
    </row>
    <row r="20" spans="1:7" ht="16.5">
      <c r="A20" s="31" t="s">
        <v>868</v>
      </c>
      <c r="B20" s="40" t="s">
        <v>869</v>
      </c>
      <c r="C20" s="31"/>
      <c r="D20" s="49"/>
      <c r="E20" s="31" t="s">
        <v>868</v>
      </c>
      <c r="F20" s="40" t="s">
        <v>869</v>
      </c>
    </row>
    <row r="21" spans="1:7">
      <c r="A21" s="32"/>
      <c r="B21" s="39"/>
      <c r="E21" s="32"/>
      <c r="F21" s="39"/>
    </row>
    <row r="22" spans="1:7">
      <c r="A22" s="32"/>
      <c r="B22" s="39"/>
      <c r="E22" s="32"/>
      <c r="F22" s="39"/>
    </row>
    <row r="23" spans="1:7">
      <c r="A23" s="32"/>
      <c r="B23" s="39"/>
      <c r="E23" s="32"/>
      <c r="F23" s="39"/>
    </row>
    <row r="24" spans="1:7" s="42" customFormat="1">
      <c r="A24" s="37"/>
      <c r="C24" s="32"/>
      <c r="D24" s="46"/>
      <c r="E24" s="37"/>
      <c r="G24" s="37"/>
    </row>
    <row r="25" spans="1:7" ht="9.75" customHeight="1">
      <c r="A25" s="37"/>
      <c r="B25" s="42"/>
      <c r="C25" s="39"/>
      <c r="D25" s="39"/>
      <c r="E25" s="37"/>
      <c r="F25" s="42"/>
    </row>
    <row r="26" spans="1:7" ht="7.5" customHeight="1">
      <c r="A26" s="32"/>
      <c r="B26" s="39"/>
      <c r="E26" s="32"/>
      <c r="F26" s="39"/>
    </row>
    <row r="27" spans="1:7" ht="19.5">
      <c r="A27" s="448" t="s">
        <v>1061</v>
      </c>
      <c r="B27" s="449"/>
      <c r="C27" s="135"/>
      <c r="D27" s="47"/>
      <c r="E27" s="448" t="s">
        <v>1061</v>
      </c>
      <c r="F27" s="449"/>
    </row>
    <row r="28" spans="1:7" ht="7.5" customHeight="1">
      <c r="A28" s="32"/>
      <c r="B28" s="39"/>
      <c r="E28" s="32"/>
      <c r="F28" s="39"/>
    </row>
    <row r="29" spans="1:7" ht="19.5" customHeight="1">
      <c r="A29" s="29" t="s">
        <v>865</v>
      </c>
      <c r="B29" s="43"/>
      <c r="C29" s="44"/>
      <c r="D29" s="48"/>
      <c r="E29" s="29" t="s">
        <v>865</v>
      </c>
      <c r="F29" s="43"/>
    </row>
    <row r="30" spans="1:7" ht="19.5" customHeight="1">
      <c r="A30" s="29" t="s">
        <v>866</v>
      </c>
      <c r="B30" s="43"/>
      <c r="C30" s="44"/>
      <c r="D30" s="48"/>
      <c r="E30" s="29" t="s">
        <v>866</v>
      </c>
      <c r="F30" s="43"/>
    </row>
    <row r="31" spans="1:7" ht="19.5" customHeight="1">
      <c r="A31" s="29" t="s">
        <v>1057</v>
      </c>
      <c r="B31" s="43" t="s">
        <v>1058</v>
      </c>
      <c r="C31" s="44"/>
      <c r="D31" s="48"/>
      <c r="E31" s="29" t="s">
        <v>1057</v>
      </c>
      <c r="F31" s="43" t="s">
        <v>1058</v>
      </c>
    </row>
    <row r="32" spans="1:7" ht="19.5" customHeight="1">
      <c r="A32" s="29" t="s">
        <v>1062</v>
      </c>
      <c r="B32" s="43"/>
      <c r="C32" s="44"/>
      <c r="D32" s="48"/>
      <c r="E32" s="29" t="s">
        <v>1062</v>
      </c>
      <c r="F32" s="43"/>
    </row>
    <row r="33" spans="1:7" ht="19.5" customHeight="1">
      <c r="A33" s="29" t="s">
        <v>1056</v>
      </c>
      <c r="B33" s="29" t="s">
        <v>1059</v>
      </c>
      <c r="C33" s="44"/>
      <c r="D33" s="48"/>
      <c r="E33" s="29" t="s">
        <v>1056</v>
      </c>
      <c r="F33" s="43" t="s">
        <v>1059</v>
      </c>
    </row>
    <row r="34" spans="1:7" ht="19.5" customHeight="1">
      <c r="A34" s="442" t="s">
        <v>1060</v>
      </c>
      <c r="B34" s="443"/>
      <c r="E34" s="442" t="s">
        <v>1060</v>
      </c>
      <c r="F34" s="443"/>
    </row>
    <row r="35" spans="1:7" ht="17.25" customHeight="1">
      <c r="A35" s="44"/>
      <c r="B35" s="133"/>
      <c r="E35" s="44"/>
      <c r="F35" s="133"/>
    </row>
    <row r="36" spans="1:7" s="30" customFormat="1" ht="33">
      <c r="A36" s="31" t="s">
        <v>870</v>
      </c>
      <c r="B36" s="40" t="s">
        <v>872</v>
      </c>
      <c r="C36" s="31"/>
      <c r="D36" s="49"/>
      <c r="E36" s="31" t="s">
        <v>870</v>
      </c>
      <c r="F36" s="40" t="s">
        <v>872</v>
      </c>
      <c r="G36" s="52"/>
    </row>
    <row r="37" spans="1:7">
      <c r="A37" s="35"/>
      <c r="B37" s="41"/>
      <c r="C37" s="35"/>
      <c r="D37" s="50"/>
      <c r="E37" s="35"/>
      <c r="F37" s="41"/>
    </row>
    <row r="38" spans="1:7">
      <c r="A38" s="35"/>
      <c r="B38" s="41"/>
      <c r="C38" s="35"/>
      <c r="D38" s="50"/>
      <c r="E38" s="35"/>
      <c r="F38" s="41"/>
    </row>
    <row r="39" spans="1:7">
      <c r="A39" s="35"/>
      <c r="B39" s="41"/>
      <c r="C39" s="35"/>
      <c r="D39" s="50"/>
      <c r="E39" s="35"/>
      <c r="F39" s="41"/>
    </row>
    <row r="40" spans="1:7">
      <c r="A40" s="35"/>
      <c r="B40" s="41"/>
      <c r="C40" s="35"/>
      <c r="D40" s="50"/>
      <c r="E40" s="35"/>
      <c r="F40" s="41"/>
    </row>
    <row r="41" spans="1:7" ht="16.5">
      <c r="A41" s="31" t="s">
        <v>868</v>
      </c>
      <c r="B41" s="40" t="s">
        <v>869</v>
      </c>
      <c r="C41" s="31"/>
      <c r="D41" s="49"/>
      <c r="E41" s="31" t="s">
        <v>868</v>
      </c>
      <c r="F41" s="40" t="s">
        <v>869</v>
      </c>
    </row>
    <row r="42" spans="1:7">
      <c r="A42" s="32"/>
      <c r="B42" s="39"/>
      <c r="E42" s="32"/>
      <c r="F42" s="39"/>
    </row>
    <row r="43" spans="1:7">
      <c r="A43" s="32"/>
      <c r="B43" s="39"/>
      <c r="E43" s="32"/>
      <c r="F43" s="39"/>
    </row>
    <row r="44" spans="1:7">
      <c r="A44" s="32"/>
      <c r="B44" s="39"/>
      <c r="E44" s="32"/>
      <c r="F44" s="39"/>
    </row>
    <row r="45" spans="1:7" s="42" customFormat="1">
      <c r="A45" s="37"/>
      <c r="C45" s="32"/>
      <c r="D45" s="46"/>
      <c r="E45" s="37"/>
      <c r="G45" s="37"/>
    </row>
    <row r="46" spans="1:7" ht="7.5" customHeight="1">
      <c r="A46" s="32"/>
      <c r="B46" s="39"/>
      <c r="E46" s="32"/>
      <c r="F46" s="39"/>
    </row>
    <row r="47" spans="1:7" ht="19.5">
      <c r="A47" s="448" t="s">
        <v>1061</v>
      </c>
      <c r="B47" s="449"/>
      <c r="C47" s="135"/>
      <c r="D47" s="47"/>
      <c r="E47" s="448" t="s">
        <v>1061</v>
      </c>
      <c r="F47" s="449"/>
    </row>
    <row r="48" spans="1:7" ht="7.5" customHeight="1">
      <c r="A48" s="32"/>
      <c r="B48" s="39"/>
      <c r="E48" s="32"/>
      <c r="F48" s="39"/>
    </row>
    <row r="49" spans="1:7" ht="19.5" customHeight="1">
      <c r="A49" s="29" t="s">
        <v>865</v>
      </c>
      <c r="B49" s="43"/>
      <c r="C49" s="44"/>
      <c r="D49" s="48"/>
      <c r="E49" s="29" t="s">
        <v>865</v>
      </c>
      <c r="F49" s="43"/>
    </row>
    <row r="50" spans="1:7" ht="19.5" customHeight="1">
      <c r="A50" s="29" t="s">
        <v>866</v>
      </c>
      <c r="B50" s="43"/>
      <c r="C50" s="44"/>
      <c r="D50" s="48"/>
      <c r="E50" s="29" t="s">
        <v>866</v>
      </c>
      <c r="F50" s="43"/>
    </row>
    <row r="51" spans="1:7" ht="19.5" customHeight="1">
      <c r="A51" s="29" t="s">
        <v>1057</v>
      </c>
      <c r="B51" s="43" t="s">
        <v>1058</v>
      </c>
      <c r="C51" s="44"/>
      <c r="D51" s="48"/>
      <c r="E51" s="29" t="s">
        <v>1057</v>
      </c>
      <c r="F51" s="43" t="s">
        <v>1058</v>
      </c>
    </row>
    <row r="52" spans="1:7" ht="19.5" customHeight="1">
      <c r="A52" s="29" t="s">
        <v>1062</v>
      </c>
      <c r="B52" s="43"/>
      <c r="C52" s="44"/>
      <c r="D52" s="48"/>
      <c r="E52" s="29" t="s">
        <v>1062</v>
      </c>
      <c r="F52" s="43"/>
    </row>
    <row r="53" spans="1:7" ht="19.5" customHeight="1">
      <c r="A53" s="29" t="s">
        <v>1056</v>
      </c>
      <c r="B53" s="29" t="s">
        <v>1059</v>
      </c>
      <c r="C53" s="44"/>
      <c r="D53" s="48"/>
      <c r="E53" s="29" t="s">
        <v>1056</v>
      </c>
      <c r="F53" s="43" t="s">
        <v>1059</v>
      </c>
    </row>
    <row r="54" spans="1:7" ht="19.5" customHeight="1">
      <c r="A54" s="442" t="s">
        <v>1060</v>
      </c>
      <c r="B54" s="443"/>
      <c r="E54" s="442" t="s">
        <v>1060</v>
      </c>
      <c r="F54" s="443"/>
    </row>
    <row r="55" spans="1:7" ht="17.25" customHeight="1">
      <c r="A55" s="44"/>
      <c r="B55" s="133"/>
      <c r="E55" s="44"/>
      <c r="F55" s="133"/>
    </row>
    <row r="56" spans="1:7" s="30" customFormat="1" ht="33">
      <c r="A56" s="31" t="s">
        <v>870</v>
      </c>
      <c r="B56" s="40" t="s">
        <v>872</v>
      </c>
      <c r="C56" s="31"/>
      <c r="D56" s="49"/>
      <c r="E56" s="31" t="s">
        <v>870</v>
      </c>
      <c r="F56" s="40" t="s">
        <v>872</v>
      </c>
      <c r="G56" s="52"/>
    </row>
    <row r="57" spans="1:7">
      <c r="A57" s="35"/>
      <c r="B57" s="41"/>
      <c r="C57" s="35"/>
      <c r="D57" s="50"/>
      <c r="E57" s="35"/>
      <c r="F57" s="41"/>
    </row>
    <row r="58" spans="1:7">
      <c r="A58" s="35"/>
      <c r="B58" s="41"/>
      <c r="C58" s="35"/>
      <c r="D58" s="50"/>
      <c r="E58" s="35"/>
      <c r="F58" s="41"/>
    </row>
    <row r="59" spans="1:7">
      <c r="A59" s="35"/>
      <c r="B59" s="41"/>
      <c r="C59" s="35"/>
      <c r="D59" s="50"/>
      <c r="E59" s="35"/>
      <c r="F59" s="41"/>
    </row>
    <row r="60" spans="1:7">
      <c r="A60" s="35"/>
      <c r="B60" s="41"/>
      <c r="C60" s="35"/>
      <c r="D60" s="50"/>
      <c r="E60" s="35"/>
      <c r="F60" s="41"/>
    </row>
    <row r="61" spans="1:7" ht="16.5">
      <c r="A61" s="31" t="s">
        <v>868</v>
      </c>
      <c r="B61" s="40" t="s">
        <v>869</v>
      </c>
      <c r="C61" s="31"/>
      <c r="D61" s="49"/>
      <c r="E61" s="31" t="s">
        <v>868</v>
      </c>
      <c r="F61" s="40" t="s">
        <v>869</v>
      </c>
    </row>
    <row r="62" spans="1:7">
      <c r="A62" s="32"/>
      <c r="B62" s="39"/>
      <c r="E62" s="32"/>
      <c r="F62" s="39"/>
    </row>
    <row r="63" spans="1:7">
      <c r="A63" s="32"/>
      <c r="B63" s="39"/>
      <c r="E63" s="32"/>
      <c r="F63" s="39"/>
    </row>
    <row r="64" spans="1:7">
      <c r="A64" s="32"/>
      <c r="B64" s="39"/>
      <c r="E64" s="32"/>
      <c r="F64" s="39"/>
    </row>
    <row r="65" spans="1:7" s="42" customFormat="1">
      <c r="A65" s="37"/>
      <c r="C65" s="32"/>
      <c r="D65" s="46"/>
      <c r="E65" s="37"/>
      <c r="G65" s="37"/>
    </row>
    <row r="66" spans="1:7" ht="7.5" customHeight="1">
      <c r="A66" s="32"/>
      <c r="B66" s="39"/>
      <c r="E66" s="32"/>
      <c r="F66" s="39"/>
    </row>
    <row r="67" spans="1:7" ht="19.5">
      <c r="A67" s="448" t="s">
        <v>1061</v>
      </c>
      <c r="B67" s="449"/>
      <c r="C67" s="135"/>
      <c r="D67" s="47"/>
      <c r="E67" s="448" t="s">
        <v>1061</v>
      </c>
      <c r="F67" s="449"/>
    </row>
    <row r="68" spans="1:7" ht="7.5" customHeight="1">
      <c r="A68" s="32"/>
      <c r="B68" s="39"/>
      <c r="E68" s="32"/>
      <c r="F68" s="39"/>
    </row>
    <row r="69" spans="1:7" ht="19.5" customHeight="1">
      <c r="A69" s="29" t="s">
        <v>865</v>
      </c>
      <c r="B69" s="43"/>
      <c r="C69" s="44"/>
      <c r="D69" s="48"/>
      <c r="E69" s="29" t="s">
        <v>865</v>
      </c>
      <c r="F69" s="43"/>
    </row>
    <row r="70" spans="1:7" ht="19.5" customHeight="1">
      <c r="A70" s="29" t="s">
        <v>866</v>
      </c>
      <c r="B70" s="43"/>
      <c r="C70" s="44"/>
      <c r="D70" s="48"/>
      <c r="E70" s="29" t="s">
        <v>866</v>
      </c>
      <c r="F70" s="43"/>
    </row>
    <row r="71" spans="1:7" ht="19.5" customHeight="1">
      <c r="A71" s="29" t="s">
        <v>1057</v>
      </c>
      <c r="B71" s="43" t="s">
        <v>1058</v>
      </c>
      <c r="C71" s="44"/>
      <c r="D71" s="48"/>
      <c r="E71" s="29" t="s">
        <v>1057</v>
      </c>
      <c r="F71" s="43" t="s">
        <v>1058</v>
      </c>
    </row>
    <row r="72" spans="1:7" ht="19.5" customHeight="1">
      <c r="A72" s="29" t="s">
        <v>1062</v>
      </c>
      <c r="B72" s="43"/>
      <c r="C72" s="44"/>
      <c r="D72" s="48"/>
      <c r="E72" s="29" t="s">
        <v>1062</v>
      </c>
      <c r="F72" s="43"/>
    </row>
    <row r="73" spans="1:7" ht="19.5" customHeight="1">
      <c r="A73" s="29" t="s">
        <v>1056</v>
      </c>
      <c r="B73" s="29" t="s">
        <v>1059</v>
      </c>
      <c r="C73" s="44"/>
      <c r="D73" s="48"/>
      <c r="E73" s="29" t="s">
        <v>1056</v>
      </c>
      <c r="F73" s="43" t="s">
        <v>1059</v>
      </c>
    </row>
    <row r="74" spans="1:7" ht="19.5" customHeight="1">
      <c r="A74" s="442" t="s">
        <v>1060</v>
      </c>
      <c r="B74" s="443"/>
      <c r="E74" s="442" t="s">
        <v>1060</v>
      </c>
      <c r="F74" s="443"/>
    </row>
    <row r="75" spans="1:7" ht="17.25" customHeight="1">
      <c r="A75" s="44"/>
      <c r="B75" s="133"/>
      <c r="E75" s="44"/>
      <c r="F75" s="133"/>
    </row>
    <row r="76" spans="1:7" s="30" customFormat="1" ht="33">
      <c r="A76" s="31" t="s">
        <v>870</v>
      </c>
      <c r="B76" s="40" t="s">
        <v>872</v>
      </c>
      <c r="C76" s="31"/>
      <c r="D76" s="49"/>
      <c r="E76" s="31" t="s">
        <v>870</v>
      </c>
      <c r="F76" s="40" t="s">
        <v>872</v>
      </c>
      <c r="G76" s="52"/>
    </row>
    <row r="77" spans="1:7">
      <c r="A77" s="35"/>
      <c r="B77" s="41"/>
      <c r="C77" s="35"/>
      <c r="D77" s="50"/>
      <c r="E77" s="35"/>
      <c r="F77" s="41"/>
    </row>
    <row r="78" spans="1:7">
      <c r="A78" s="35"/>
      <c r="B78" s="41"/>
      <c r="C78" s="35"/>
      <c r="D78" s="50"/>
      <c r="E78" s="35"/>
      <c r="F78" s="41"/>
    </row>
    <row r="79" spans="1:7">
      <c r="A79" s="35"/>
      <c r="B79" s="41"/>
      <c r="C79" s="35"/>
      <c r="D79" s="50"/>
      <c r="E79" s="35"/>
      <c r="F79" s="41"/>
    </row>
    <row r="80" spans="1:7">
      <c r="A80" s="35"/>
      <c r="B80" s="41"/>
      <c r="C80" s="35"/>
      <c r="D80" s="50"/>
      <c r="E80" s="35"/>
      <c r="F80" s="41"/>
    </row>
    <row r="81" spans="1:7" ht="16.5">
      <c r="A81" s="31" t="s">
        <v>868</v>
      </c>
      <c r="B81" s="40" t="s">
        <v>869</v>
      </c>
      <c r="C81" s="31"/>
      <c r="D81" s="49"/>
      <c r="E81" s="31" t="s">
        <v>868</v>
      </c>
      <c r="F81" s="40" t="s">
        <v>869</v>
      </c>
    </row>
    <row r="82" spans="1:7">
      <c r="A82" s="32"/>
      <c r="B82" s="39"/>
      <c r="E82" s="32"/>
      <c r="F82" s="39"/>
    </row>
    <row r="83" spans="1:7">
      <c r="A83" s="32"/>
      <c r="B83" s="39"/>
      <c r="E83" s="32"/>
      <c r="F83" s="39"/>
    </row>
    <row r="84" spans="1:7">
      <c r="A84" s="32"/>
      <c r="B84" s="39"/>
      <c r="E84" s="32"/>
      <c r="F84" s="39"/>
    </row>
    <row r="85" spans="1:7" s="42" customFormat="1">
      <c r="A85" s="37"/>
      <c r="C85" s="32"/>
      <c r="D85" s="46"/>
      <c r="E85" s="37"/>
      <c r="G85" s="37"/>
    </row>
  </sheetData>
  <mergeCells count="24">
    <mergeCell ref="A67:B67"/>
    <mergeCell ref="E67:F67"/>
    <mergeCell ref="A74:B74"/>
    <mergeCell ref="E74:F74"/>
    <mergeCell ref="E1:F1"/>
    <mergeCell ref="E2:F2"/>
    <mergeCell ref="E3:F3"/>
    <mergeCell ref="E4:F4"/>
    <mergeCell ref="E6:F6"/>
    <mergeCell ref="E13:F13"/>
    <mergeCell ref="A54:B54"/>
    <mergeCell ref="E54:F54"/>
    <mergeCell ref="A34:B34"/>
    <mergeCell ref="E34:F34"/>
    <mergeCell ref="A27:B27"/>
    <mergeCell ref="E27:F27"/>
    <mergeCell ref="A1:B1"/>
    <mergeCell ref="A2:B2"/>
    <mergeCell ref="A3:B3"/>
    <mergeCell ref="A47:B47"/>
    <mergeCell ref="E47:F47"/>
    <mergeCell ref="A4:B4"/>
    <mergeCell ref="A6:B6"/>
    <mergeCell ref="A13:B13"/>
  </mergeCells>
  <pageMargins left="0.51181102362204722" right="0.39370078740157483" top="0.98425196850393704" bottom="0.43307086614173229" header="0.31496062992125984" footer="0.31496062992125984"/>
  <pageSetup paperSize="9" scale="4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40"/>
  <sheetViews>
    <sheetView topLeftCell="C10" zoomScale="85" zoomScaleNormal="85" workbookViewId="0">
      <selection activeCell="E42" sqref="E42"/>
    </sheetView>
  </sheetViews>
  <sheetFormatPr defaultRowHeight="16.5"/>
  <cols>
    <col min="1" max="1" width="0.75" style="338" customWidth="1"/>
    <col min="2" max="2" width="6.125" style="338" bestFit="1" customWidth="1"/>
    <col min="3" max="3" width="17.375" style="338" bestFit="1" customWidth="1"/>
    <col min="4" max="4" width="12.875" style="338" bestFit="1" customWidth="1"/>
    <col min="5" max="5" width="14.25" style="338" bestFit="1" customWidth="1"/>
    <col min="6" max="6" width="16.125" style="338" bestFit="1" customWidth="1"/>
    <col min="7" max="7" width="11.75" style="338" bestFit="1" customWidth="1"/>
    <col min="8" max="8" width="17" style="338" bestFit="1" customWidth="1"/>
    <col min="9" max="9" width="10.875" style="338" bestFit="1" customWidth="1"/>
    <col min="10" max="10" width="8.75" style="338" bestFit="1" customWidth="1"/>
    <col min="11" max="13" width="7.75" style="338" bestFit="1" customWidth="1"/>
    <col min="14" max="14" width="10.375" style="338" customWidth="1"/>
    <col min="15" max="15" width="0.5" style="338" customWidth="1"/>
    <col min="16" max="16" width="89.875" style="338" customWidth="1"/>
    <col min="17" max="17" width="11.75" style="338" bestFit="1" customWidth="1"/>
    <col min="18" max="18" width="13" style="338" bestFit="1" customWidth="1"/>
    <col min="19" max="19" width="14.75" style="338" bestFit="1" customWidth="1"/>
    <col min="20" max="16384" width="9" style="338"/>
  </cols>
  <sheetData>
    <row r="1" spans="2:16" ht="17.25" thickBot="1">
      <c r="B1" s="450" t="s">
        <v>1740</v>
      </c>
      <c r="C1" s="450"/>
      <c r="D1" s="450"/>
      <c r="E1" s="450"/>
      <c r="F1" s="450"/>
      <c r="G1" s="450"/>
      <c r="H1" s="450"/>
      <c r="I1" s="450"/>
      <c r="J1" s="450"/>
      <c r="K1" s="450"/>
      <c r="L1" s="450"/>
      <c r="M1" s="450"/>
      <c r="N1" s="450"/>
    </row>
    <row r="2" spans="2:16">
      <c r="B2" s="371" t="s">
        <v>1171</v>
      </c>
      <c r="C2" s="372" t="s">
        <v>1086</v>
      </c>
      <c r="D2" s="372" t="s">
        <v>1087</v>
      </c>
      <c r="E2" s="373" t="s">
        <v>1088</v>
      </c>
      <c r="F2" s="372" t="s">
        <v>1090</v>
      </c>
      <c r="G2" s="374" t="s">
        <v>1647</v>
      </c>
      <c r="H2" s="373" t="s">
        <v>1094</v>
      </c>
      <c r="I2" s="374" t="s">
        <v>1648</v>
      </c>
      <c r="J2" s="372" t="s">
        <v>1109</v>
      </c>
      <c r="K2" s="375" t="s">
        <v>1113</v>
      </c>
      <c r="L2" s="375" t="s">
        <v>1114</v>
      </c>
      <c r="M2" s="375" t="s">
        <v>1115</v>
      </c>
      <c r="N2" s="376" t="s">
        <v>1649</v>
      </c>
      <c r="P2" s="339" t="s">
        <v>1742</v>
      </c>
    </row>
    <row r="3" spans="2:16">
      <c r="B3" s="377">
        <v>1</v>
      </c>
      <c r="C3" s="378" t="s">
        <v>1168</v>
      </c>
      <c r="D3" s="378" t="s">
        <v>1092</v>
      </c>
      <c r="E3" s="378" t="s">
        <v>1209</v>
      </c>
      <c r="F3" s="378" t="s">
        <v>1091</v>
      </c>
      <c r="G3" s="379">
        <v>8.6300000000000008</v>
      </c>
      <c r="H3" s="378" t="s">
        <v>1148</v>
      </c>
      <c r="I3" s="380">
        <v>0</v>
      </c>
      <c r="J3" s="381" t="s">
        <v>1122</v>
      </c>
      <c r="K3" s="381">
        <v>1</v>
      </c>
      <c r="L3" s="381">
        <f>K3+1</f>
        <v>2</v>
      </c>
      <c r="M3" s="381">
        <f>L3+1</f>
        <v>3</v>
      </c>
      <c r="N3" s="382" t="s">
        <v>1830</v>
      </c>
      <c r="P3" s="340" t="str">
        <f t="shared" ref="P3:P17" si="0">VLOOKUP($B3,VLDV,4,0)</f>
        <v>Vật liệu trước khi đổ bê tông lót móng</v>
      </c>
    </row>
    <row r="4" spans="2:16">
      <c r="B4" s="383">
        <v>2</v>
      </c>
      <c r="C4" s="381" t="s">
        <v>1168</v>
      </c>
      <c r="D4" s="381" t="s">
        <v>1092</v>
      </c>
      <c r="E4" s="381" t="s">
        <v>1444</v>
      </c>
      <c r="F4" s="381" t="s">
        <v>1091</v>
      </c>
      <c r="G4" s="384">
        <v>2.0499999999999998</v>
      </c>
      <c r="H4" s="381" t="s">
        <v>1096</v>
      </c>
      <c r="I4" s="384">
        <f>(170.35+26.97)</f>
        <v>197.32</v>
      </c>
      <c r="J4" s="381" t="s">
        <v>1122</v>
      </c>
      <c r="K4" s="381">
        <f>M3+1</f>
        <v>4</v>
      </c>
      <c r="L4" s="381">
        <f>K4+1</f>
        <v>5</v>
      </c>
      <c r="M4" s="381">
        <f>L4+1</f>
        <v>6</v>
      </c>
      <c r="N4" s="385" t="str">
        <f>N3</f>
        <v>TH3PC</v>
      </c>
      <c r="P4" s="340" t="str">
        <f t="shared" si="0"/>
        <v>Vật liệu trước khi đổ bê tông giằng móng</v>
      </c>
    </row>
    <row r="5" spans="2:16">
      <c r="B5" s="383">
        <v>3</v>
      </c>
      <c r="C5" s="381" t="s">
        <v>1168</v>
      </c>
      <c r="D5" s="381" t="s">
        <v>1092</v>
      </c>
      <c r="E5" s="381" t="s">
        <v>1444</v>
      </c>
      <c r="F5" s="381" t="s">
        <v>1091</v>
      </c>
      <c r="G5" s="384">
        <v>0.78</v>
      </c>
      <c r="H5" s="381" t="s">
        <v>1096</v>
      </c>
      <c r="I5" s="384">
        <f>0.06*1000</f>
        <v>60</v>
      </c>
      <c r="J5" s="381" t="s">
        <v>1466</v>
      </c>
      <c r="K5" s="381">
        <f t="shared" ref="K5:K8" si="1">M4+1</f>
        <v>7</v>
      </c>
      <c r="L5" s="381">
        <f t="shared" ref="L5:M8" si="2">K5+1</f>
        <v>8</v>
      </c>
      <c r="M5" s="381">
        <f t="shared" si="2"/>
        <v>9</v>
      </c>
      <c r="N5" s="385" t="str">
        <f t="shared" ref="N5:N8" si="3">N4</f>
        <v>TH3PC</v>
      </c>
      <c r="P5" s="340" t="str">
        <f t="shared" si="0"/>
        <v>Vật liệu trước khi đổ bê tông lanh tô cửa sổ và cửa đi</v>
      </c>
    </row>
    <row r="6" spans="2:16">
      <c r="B6" s="383">
        <v>4</v>
      </c>
      <c r="C6" s="381" t="s">
        <v>1168</v>
      </c>
      <c r="D6" s="381" t="s">
        <v>1092</v>
      </c>
      <c r="E6" s="381" t="s">
        <v>1444</v>
      </c>
      <c r="F6" s="381" t="s">
        <v>1091</v>
      </c>
      <c r="G6" s="384">
        <v>23.98</v>
      </c>
      <c r="H6" s="381" t="s">
        <v>1096</v>
      </c>
      <c r="I6" s="384">
        <f>2.09*1000</f>
        <v>2090</v>
      </c>
      <c r="J6" s="381" t="s">
        <v>1122</v>
      </c>
      <c r="K6" s="381">
        <f t="shared" si="1"/>
        <v>10</v>
      </c>
      <c r="L6" s="381">
        <f t="shared" si="2"/>
        <v>11</v>
      </c>
      <c r="M6" s="381">
        <f t="shared" si="2"/>
        <v>12</v>
      </c>
      <c r="N6" s="385" t="str">
        <f t="shared" si="3"/>
        <v>TH3PC</v>
      </c>
      <c r="P6" s="340" t="str">
        <f t="shared" si="0"/>
        <v>Vật liệu trước khi đổ bê tông dầm D1, D2, D3, D4, D4A, D4B, bê tông sàn, sê nô thu nước</v>
      </c>
    </row>
    <row r="7" spans="2:16">
      <c r="B7" s="383">
        <v>5</v>
      </c>
      <c r="C7" s="381" t="s">
        <v>1168</v>
      </c>
      <c r="D7" s="381" t="s">
        <v>1092</v>
      </c>
      <c r="E7" s="381" t="s">
        <v>1444</v>
      </c>
      <c r="F7" s="381" t="s">
        <v>1091</v>
      </c>
      <c r="G7" s="384">
        <v>1.1100000000000001</v>
      </c>
      <c r="H7" s="381" t="s">
        <v>1096</v>
      </c>
      <c r="I7" s="384">
        <f>0.08*1000</f>
        <v>80</v>
      </c>
      <c r="J7" s="381" t="s">
        <v>1122</v>
      </c>
      <c r="K7" s="381">
        <f t="shared" si="1"/>
        <v>13</v>
      </c>
      <c r="L7" s="381">
        <f t="shared" si="2"/>
        <v>14</v>
      </c>
      <c r="M7" s="381">
        <f t="shared" si="2"/>
        <v>15</v>
      </c>
      <c r="N7" s="385" t="str">
        <f t="shared" si="3"/>
        <v>TH3PC</v>
      </c>
      <c r="P7" s="340" t="str">
        <f t="shared" si="0"/>
        <v>Vật liệu trước khi đổ bê tông giằng tường thu hồi</v>
      </c>
    </row>
    <row r="8" spans="2:16">
      <c r="B8" s="383">
        <v>6</v>
      </c>
      <c r="C8" s="381" t="s">
        <v>1168</v>
      </c>
      <c r="D8" s="381" t="s">
        <v>1092</v>
      </c>
      <c r="E8" s="381" t="s">
        <v>1444</v>
      </c>
      <c r="F8" s="381" t="s">
        <v>1091</v>
      </c>
      <c r="G8" s="384">
        <v>0.68</v>
      </c>
      <c r="H8" s="381" t="s">
        <v>1096</v>
      </c>
      <c r="I8" s="384">
        <f>0.12*1000</f>
        <v>120</v>
      </c>
      <c r="J8" s="381" t="s">
        <v>1466</v>
      </c>
      <c r="K8" s="381">
        <f t="shared" si="1"/>
        <v>16</v>
      </c>
      <c r="L8" s="381">
        <f t="shared" si="2"/>
        <v>17</v>
      </c>
      <c r="M8" s="381">
        <f t="shared" si="2"/>
        <v>18</v>
      </c>
      <c r="N8" s="385" t="str">
        <f t="shared" si="3"/>
        <v>TH3PC</v>
      </c>
      <c r="P8" s="340" t="str">
        <f t="shared" si="0"/>
        <v>Vật liệu trước khi đổ bê tông Lam trang trí</v>
      </c>
    </row>
    <row r="9" spans="2:16">
      <c r="B9" s="383">
        <v>7</v>
      </c>
      <c r="C9" s="381"/>
      <c r="D9" s="381"/>
      <c r="E9" s="381"/>
      <c r="F9" s="381"/>
      <c r="G9" s="384"/>
      <c r="H9" s="381"/>
      <c r="I9" s="384"/>
      <c r="J9" s="381"/>
      <c r="K9" s="381"/>
      <c r="L9" s="381"/>
      <c r="M9" s="381"/>
      <c r="N9" s="385"/>
      <c r="P9" s="340" t="e">
        <f t="shared" si="0"/>
        <v>#N/A</v>
      </c>
    </row>
    <row r="10" spans="2:16">
      <c r="B10" s="383">
        <v>8</v>
      </c>
      <c r="C10" s="381"/>
      <c r="D10" s="381"/>
      <c r="E10" s="381"/>
      <c r="F10" s="381"/>
      <c r="G10" s="384"/>
      <c r="H10" s="381"/>
      <c r="I10" s="384"/>
      <c r="J10" s="381"/>
      <c r="K10" s="381"/>
      <c r="L10" s="381"/>
      <c r="M10" s="381"/>
      <c r="N10" s="385"/>
      <c r="P10" s="340" t="e">
        <f t="shared" si="0"/>
        <v>#N/A</v>
      </c>
    </row>
    <row r="11" spans="2:16">
      <c r="B11" s="383">
        <v>9</v>
      </c>
      <c r="C11" s="381"/>
      <c r="D11" s="381"/>
      <c r="E11" s="381"/>
      <c r="F11" s="381"/>
      <c r="G11" s="384"/>
      <c r="H11" s="381"/>
      <c r="I11" s="384"/>
      <c r="J11" s="381"/>
      <c r="K11" s="381"/>
      <c r="L11" s="381"/>
      <c r="M11" s="381"/>
      <c r="N11" s="385"/>
      <c r="P11" s="340" t="e">
        <f t="shared" si="0"/>
        <v>#N/A</v>
      </c>
    </row>
    <row r="12" spans="2:16">
      <c r="B12" s="383">
        <v>10</v>
      </c>
      <c r="C12" s="381"/>
      <c r="D12" s="381"/>
      <c r="E12" s="381"/>
      <c r="F12" s="381"/>
      <c r="G12" s="384"/>
      <c r="H12" s="381"/>
      <c r="I12" s="381"/>
      <c r="J12" s="381"/>
      <c r="K12" s="381"/>
      <c r="L12" s="381"/>
      <c r="M12" s="381"/>
      <c r="N12" s="385"/>
      <c r="P12" s="340" t="e">
        <f t="shared" si="0"/>
        <v>#N/A</v>
      </c>
    </row>
    <row r="13" spans="2:16">
      <c r="B13" s="383">
        <v>11</v>
      </c>
      <c r="C13" s="381"/>
      <c r="D13" s="381"/>
      <c r="E13" s="381"/>
      <c r="F13" s="381"/>
      <c r="G13" s="384"/>
      <c r="H13" s="381"/>
      <c r="I13" s="381"/>
      <c r="J13" s="381"/>
      <c r="K13" s="381"/>
      <c r="L13" s="381"/>
      <c r="M13" s="381"/>
      <c r="N13" s="385"/>
      <c r="P13" s="340" t="e">
        <f t="shared" si="0"/>
        <v>#N/A</v>
      </c>
    </row>
    <row r="14" spans="2:16">
      <c r="B14" s="383">
        <v>12</v>
      </c>
      <c r="C14" s="381"/>
      <c r="D14" s="381"/>
      <c r="E14" s="381"/>
      <c r="F14" s="381"/>
      <c r="G14" s="384"/>
      <c r="H14" s="381"/>
      <c r="I14" s="381"/>
      <c r="J14" s="381"/>
      <c r="K14" s="381"/>
      <c r="L14" s="381"/>
      <c r="M14" s="381"/>
      <c r="N14" s="385"/>
      <c r="P14" s="340" t="e">
        <f t="shared" si="0"/>
        <v>#N/A</v>
      </c>
    </row>
    <row r="15" spans="2:16">
      <c r="B15" s="383">
        <v>13</v>
      </c>
      <c r="C15" s="381"/>
      <c r="D15" s="381"/>
      <c r="E15" s="381"/>
      <c r="F15" s="381"/>
      <c r="G15" s="384"/>
      <c r="H15" s="381"/>
      <c r="I15" s="381"/>
      <c r="J15" s="381"/>
      <c r="K15" s="381"/>
      <c r="L15" s="381"/>
      <c r="M15" s="381"/>
      <c r="N15" s="385"/>
      <c r="P15" s="340" t="e">
        <f t="shared" si="0"/>
        <v>#N/A</v>
      </c>
    </row>
    <row r="16" spans="2:16">
      <c r="B16" s="383">
        <v>14</v>
      </c>
      <c r="C16" s="381"/>
      <c r="D16" s="381"/>
      <c r="E16" s="381"/>
      <c r="F16" s="381"/>
      <c r="G16" s="384"/>
      <c r="H16" s="381"/>
      <c r="I16" s="381"/>
      <c r="J16" s="381"/>
      <c r="K16" s="381"/>
      <c r="L16" s="381"/>
      <c r="M16" s="381"/>
      <c r="N16" s="385"/>
      <c r="P16" s="340" t="e">
        <f t="shared" si="0"/>
        <v>#N/A</v>
      </c>
    </row>
    <row r="17" spans="1:16" ht="17.25" thickBot="1">
      <c r="B17" s="386">
        <v>15</v>
      </c>
      <c r="C17" s="387"/>
      <c r="D17" s="387"/>
      <c r="E17" s="387"/>
      <c r="F17" s="387"/>
      <c r="G17" s="388"/>
      <c r="H17" s="387"/>
      <c r="I17" s="387"/>
      <c r="J17" s="387"/>
      <c r="K17" s="387"/>
      <c r="L17" s="387"/>
      <c r="M17" s="387"/>
      <c r="N17" s="389"/>
      <c r="P17" s="340" t="e">
        <f t="shared" si="0"/>
        <v>#N/A</v>
      </c>
    </row>
    <row r="18" spans="1:16" ht="21" customHeight="1" thickBot="1">
      <c r="B18" s="451" t="s">
        <v>1739</v>
      </c>
      <c r="C18" s="452"/>
      <c r="D18" s="452"/>
      <c r="E18" s="452"/>
      <c r="F18" s="452"/>
      <c r="G18" s="452"/>
      <c r="H18" s="452"/>
      <c r="I18" s="452"/>
      <c r="J18" s="452"/>
      <c r="K18" s="452"/>
      <c r="L18" s="452"/>
      <c r="M18" s="452"/>
      <c r="N18" s="453"/>
    </row>
    <row r="19" spans="1:16">
      <c r="A19" s="341"/>
      <c r="B19" s="390" t="s">
        <v>1171</v>
      </c>
      <c r="C19" s="391" t="s">
        <v>1650</v>
      </c>
      <c r="D19" s="374" t="s">
        <v>1136</v>
      </c>
      <c r="E19" s="392" t="s">
        <v>1142</v>
      </c>
      <c r="F19" s="392" t="s">
        <v>1651</v>
      </c>
      <c r="G19" s="393" t="s">
        <v>1652</v>
      </c>
      <c r="H19" s="393" t="s">
        <v>1653</v>
      </c>
      <c r="I19" s="393" t="s">
        <v>1654</v>
      </c>
      <c r="J19" s="391" t="s">
        <v>1375</v>
      </c>
      <c r="K19" s="393"/>
      <c r="L19" s="393"/>
      <c r="M19" s="393"/>
      <c r="N19" s="394"/>
    </row>
    <row r="20" spans="1:16">
      <c r="B20" s="395">
        <v>1</v>
      </c>
      <c r="C20" s="381" t="s">
        <v>1634</v>
      </c>
      <c r="D20" s="378">
        <v>44.63</v>
      </c>
      <c r="E20" s="381">
        <v>0.42</v>
      </c>
      <c r="F20" s="381">
        <v>1.2</v>
      </c>
      <c r="G20" s="381">
        <v>1</v>
      </c>
      <c r="H20" s="381">
        <v>2</v>
      </c>
      <c r="I20" s="381">
        <v>3</v>
      </c>
      <c r="J20" s="381" t="s">
        <v>1478</v>
      </c>
      <c r="K20" s="378"/>
      <c r="L20" s="378"/>
      <c r="M20" s="378"/>
      <c r="N20" s="382"/>
      <c r="P20" s="340" t="str">
        <f t="shared" ref="P20:P29" si="4">VLOOKUP($B20,VLXAY,4,0)</f>
        <v>Vật liệu trước khi xây móng đá hộc</v>
      </c>
    </row>
    <row r="21" spans="1:16">
      <c r="B21" s="396">
        <v>2</v>
      </c>
      <c r="C21" s="381" t="s">
        <v>1635</v>
      </c>
      <c r="D21" s="381">
        <v>27.25</v>
      </c>
      <c r="E21" s="381">
        <v>0.28999999999999998</v>
      </c>
      <c r="F21" s="381">
        <v>550</v>
      </c>
      <c r="G21" s="381">
        <f>I20+1</f>
        <v>4</v>
      </c>
      <c r="H21" s="381">
        <f>G21+1</f>
        <v>5</v>
      </c>
      <c r="I21" s="381">
        <f>H21+1</f>
        <v>6</v>
      </c>
      <c r="J21" s="381" t="s">
        <v>1372</v>
      </c>
      <c r="K21" s="381"/>
      <c r="L21" s="381"/>
      <c r="M21" s="381"/>
      <c r="N21" s="385"/>
      <c r="P21" s="340" t="str">
        <f t="shared" si="4"/>
        <v>Vật liệu trước khi xây tường, xây cột (từ cốt 0.00 đến cốt lanh tô)</v>
      </c>
    </row>
    <row r="22" spans="1:16">
      <c r="B22" s="396">
        <v>3</v>
      </c>
      <c r="C22" s="381" t="s">
        <v>1635</v>
      </c>
      <c r="D22" s="381">
        <v>19.37</v>
      </c>
      <c r="E22" s="381">
        <v>0.28999999999999998</v>
      </c>
      <c r="F22" s="381">
        <v>550</v>
      </c>
      <c r="G22" s="381">
        <f t="shared" ref="G22:G23" si="5">I21+1</f>
        <v>7</v>
      </c>
      <c r="H22" s="381">
        <f t="shared" ref="H22:I23" si="6">G22+1</f>
        <v>8</v>
      </c>
      <c r="I22" s="381">
        <f t="shared" si="6"/>
        <v>9</v>
      </c>
      <c r="J22" s="381" t="s">
        <v>1372</v>
      </c>
      <c r="K22" s="381"/>
      <c r="L22" s="381"/>
      <c r="M22" s="381"/>
      <c r="N22" s="385"/>
      <c r="P22" s="340" t="str">
        <f t="shared" si="4"/>
        <v>Vật liệu trước khi xây tường, xây cột (từ cốt lanh tô đến cốt +3.60)</v>
      </c>
    </row>
    <row r="23" spans="1:16">
      <c r="B23" s="396">
        <v>4</v>
      </c>
      <c r="C23" s="381" t="s">
        <v>1634</v>
      </c>
      <c r="D23" s="381">
        <v>11.2</v>
      </c>
      <c r="E23" s="381">
        <v>0.28999999999999998</v>
      </c>
      <c r="F23" s="381">
        <v>550</v>
      </c>
      <c r="G23" s="381">
        <f t="shared" si="5"/>
        <v>10</v>
      </c>
      <c r="H23" s="381">
        <f t="shared" si="6"/>
        <v>11</v>
      </c>
      <c r="I23" s="381">
        <f t="shared" si="6"/>
        <v>12</v>
      </c>
      <c r="J23" s="381" t="s">
        <v>1372</v>
      </c>
      <c r="K23" s="381"/>
      <c r="L23" s="381"/>
      <c r="M23" s="381"/>
      <c r="N23" s="385"/>
      <c r="P23" s="340" t="str">
        <f t="shared" si="4"/>
        <v>Vật liệu trước khi xây tường thu hồi, tường chắn mái</v>
      </c>
    </row>
    <row r="24" spans="1:16">
      <c r="B24" s="396">
        <v>5</v>
      </c>
      <c r="C24" s="381"/>
      <c r="D24" s="381"/>
      <c r="E24" s="381"/>
      <c r="F24" s="381"/>
      <c r="G24" s="381"/>
      <c r="H24" s="381"/>
      <c r="I24" s="381"/>
      <c r="J24" s="381"/>
      <c r="K24" s="381"/>
      <c r="L24" s="381"/>
      <c r="M24" s="381"/>
      <c r="N24" s="385"/>
      <c r="P24" s="340" t="e">
        <f t="shared" si="4"/>
        <v>#N/A</v>
      </c>
    </row>
    <row r="25" spans="1:16">
      <c r="B25" s="396">
        <v>6</v>
      </c>
      <c r="C25" s="381"/>
      <c r="D25" s="381"/>
      <c r="E25" s="381"/>
      <c r="F25" s="381"/>
      <c r="G25" s="381"/>
      <c r="H25" s="381"/>
      <c r="I25" s="381"/>
      <c r="J25" s="381"/>
      <c r="K25" s="381"/>
      <c r="L25" s="381"/>
      <c r="M25" s="381"/>
      <c r="N25" s="385"/>
      <c r="P25" s="340" t="e">
        <f t="shared" si="4"/>
        <v>#N/A</v>
      </c>
    </row>
    <row r="26" spans="1:16">
      <c r="B26" s="396">
        <v>7</v>
      </c>
      <c r="C26" s="381"/>
      <c r="D26" s="381"/>
      <c r="E26" s="381"/>
      <c r="F26" s="381"/>
      <c r="G26" s="381"/>
      <c r="H26" s="381"/>
      <c r="I26" s="381"/>
      <c r="J26" s="381"/>
      <c r="K26" s="381"/>
      <c r="L26" s="381"/>
      <c r="M26" s="381"/>
      <c r="N26" s="385"/>
      <c r="P26" s="340" t="e">
        <f t="shared" si="4"/>
        <v>#N/A</v>
      </c>
    </row>
    <row r="27" spans="1:16">
      <c r="B27" s="396">
        <v>8</v>
      </c>
      <c r="C27" s="381"/>
      <c r="D27" s="381"/>
      <c r="E27" s="381"/>
      <c r="F27" s="381"/>
      <c r="G27" s="381"/>
      <c r="H27" s="381"/>
      <c r="I27" s="381"/>
      <c r="J27" s="381"/>
      <c r="K27" s="381"/>
      <c r="L27" s="381"/>
      <c r="M27" s="381"/>
      <c r="N27" s="385"/>
      <c r="P27" s="340" t="e">
        <f t="shared" si="4"/>
        <v>#N/A</v>
      </c>
    </row>
    <row r="28" spans="1:16">
      <c r="B28" s="396">
        <v>9</v>
      </c>
      <c r="C28" s="381"/>
      <c r="D28" s="381"/>
      <c r="E28" s="381"/>
      <c r="F28" s="381"/>
      <c r="G28" s="381"/>
      <c r="H28" s="381"/>
      <c r="I28" s="381"/>
      <c r="J28" s="381"/>
      <c r="K28" s="381"/>
      <c r="L28" s="381"/>
      <c r="M28" s="381"/>
      <c r="N28" s="385"/>
      <c r="P28" s="340" t="e">
        <f t="shared" si="4"/>
        <v>#N/A</v>
      </c>
    </row>
    <row r="29" spans="1:16" ht="17.25" thickBot="1">
      <c r="B29" s="397">
        <v>10</v>
      </c>
      <c r="C29" s="387"/>
      <c r="D29" s="387"/>
      <c r="E29" s="387"/>
      <c r="F29" s="387"/>
      <c r="G29" s="387"/>
      <c r="H29" s="387"/>
      <c r="I29" s="387"/>
      <c r="J29" s="387"/>
      <c r="K29" s="387"/>
      <c r="L29" s="387"/>
      <c r="M29" s="387"/>
      <c r="N29" s="389"/>
      <c r="P29" s="340" t="e">
        <f t="shared" si="4"/>
        <v>#N/A</v>
      </c>
    </row>
    <row r="30" spans="1:16" ht="17.25" thickBot="1">
      <c r="B30" s="398"/>
      <c r="C30" s="398"/>
      <c r="D30" s="398"/>
      <c r="E30" s="398"/>
      <c r="F30" s="398"/>
      <c r="G30" s="398"/>
      <c r="H30" s="398"/>
      <c r="I30" s="398"/>
      <c r="J30" s="398"/>
      <c r="K30" s="398"/>
      <c r="L30" s="398"/>
      <c r="M30" s="398"/>
      <c r="N30" s="398"/>
    </row>
    <row r="31" spans="1:16">
      <c r="B31" s="454" t="s">
        <v>1749</v>
      </c>
      <c r="C31" s="455"/>
      <c r="D31" s="455"/>
      <c r="E31" s="455"/>
      <c r="F31" s="455"/>
      <c r="G31" s="455"/>
      <c r="H31" s="455"/>
      <c r="I31" s="455"/>
      <c r="J31" s="455"/>
      <c r="K31" s="455"/>
      <c r="L31" s="455"/>
      <c r="M31" s="455"/>
      <c r="N31" s="456"/>
    </row>
    <row r="32" spans="1:16">
      <c r="B32" s="399" t="s">
        <v>1171</v>
      </c>
      <c r="C32" s="457" t="s">
        <v>1081</v>
      </c>
      <c r="D32" s="458"/>
      <c r="E32" s="461" t="s">
        <v>1748</v>
      </c>
      <c r="F32" s="463"/>
      <c r="G32" s="457" t="s">
        <v>1082</v>
      </c>
      <c r="H32" s="458"/>
      <c r="I32" s="461" t="s">
        <v>1110</v>
      </c>
      <c r="J32" s="462"/>
      <c r="K32" s="463"/>
      <c r="L32" s="400"/>
      <c r="M32" s="400"/>
      <c r="N32" s="401"/>
    </row>
    <row r="33" spans="2:14" ht="17.25" thickBot="1">
      <c r="B33" s="402" t="s">
        <v>1777</v>
      </c>
      <c r="C33" s="459" t="s">
        <v>1639</v>
      </c>
      <c r="D33" s="460"/>
      <c r="E33" s="459" t="s">
        <v>1639</v>
      </c>
      <c r="F33" s="460"/>
      <c r="G33" s="459" t="s">
        <v>873</v>
      </c>
      <c r="H33" s="460"/>
      <c r="I33" s="459" t="s">
        <v>1169</v>
      </c>
      <c r="J33" s="464"/>
      <c r="K33" s="460"/>
      <c r="L33" s="403"/>
      <c r="M33" s="403"/>
      <c r="N33" s="404"/>
    </row>
    <row r="34" spans="2:14" hidden="1">
      <c r="B34" s="398"/>
      <c r="C34" s="398"/>
      <c r="D34" s="398"/>
      <c r="E34" s="398"/>
      <c r="F34" s="398"/>
      <c r="G34" s="398"/>
      <c r="H34" s="398"/>
      <c r="I34" s="398"/>
      <c r="J34" s="398"/>
      <c r="K34" s="398"/>
      <c r="L34" s="398"/>
      <c r="M34" s="398"/>
      <c r="N34" s="398"/>
    </row>
    <row r="35" spans="2:14" hidden="1">
      <c r="B35" s="398"/>
      <c r="C35" s="398"/>
      <c r="D35" s="398"/>
      <c r="E35" s="398"/>
      <c r="F35" s="398"/>
      <c r="G35" s="398"/>
      <c r="H35" s="398"/>
      <c r="I35" s="398"/>
      <c r="J35" s="398"/>
      <c r="K35" s="398"/>
      <c r="L35" s="398"/>
      <c r="M35" s="398"/>
      <c r="N35" s="398"/>
    </row>
    <row r="36" spans="2:14" hidden="1">
      <c r="B36" s="398"/>
      <c r="C36" s="398"/>
      <c r="D36" s="398"/>
      <c r="E36" s="398"/>
      <c r="F36" s="398"/>
      <c r="G36" s="398"/>
      <c r="H36" s="398"/>
      <c r="I36" s="398"/>
      <c r="J36" s="398"/>
      <c r="K36" s="398"/>
      <c r="L36" s="398"/>
      <c r="M36" s="398"/>
      <c r="N36" s="398"/>
    </row>
    <row r="37" spans="2:14" ht="17.25" hidden="1" thickBot="1">
      <c r="B37" s="398"/>
      <c r="C37" s="398"/>
      <c r="D37" s="398"/>
      <c r="E37" s="398"/>
      <c r="F37" s="398"/>
      <c r="G37" s="398"/>
      <c r="H37" s="398"/>
      <c r="I37" s="398"/>
      <c r="J37" s="398"/>
      <c r="K37" s="398"/>
      <c r="L37" s="398"/>
      <c r="M37" s="398"/>
      <c r="N37" s="398"/>
    </row>
    <row r="38" spans="2:14" hidden="1">
      <c r="B38" s="454" t="s">
        <v>1751</v>
      </c>
      <c r="C38" s="455"/>
      <c r="D38" s="455"/>
      <c r="E38" s="455"/>
      <c r="F38" s="455"/>
      <c r="G38" s="455"/>
      <c r="H38" s="455"/>
      <c r="I38" s="455"/>
      <c r="J38" s="455"/>
      <c r="K38" s="455"/>
      <c r="L38" s="455"/>
      <c r="M38" s="455"/>
      <c r="N38" s="456"/>
    </row>
    <row r="39" spans="2:14" hidden="1">
      <c r="B39" s="405"/>
      <c r="C39" s="465" t="s">
        <v>1081</v>
      </c>
      <c r="D39" s="466"/>
      <c r="E39" s="465" t="s">
        <v>1748</v>
      </c>
      <c r="F39" s="466"/>
      <c r="G39" s="465" t="s">
        <v>1082</v>
      </c>
      <c r="H39" s="466"/>
      <c r="I39" s="465" t="s">
        <v>1750</v>
      </c>
      <c r="J39" s="467"/>
      <c r="K39" s="466"/>
      <c r="L39" s="400"/>
      <c r="M39" s="400"/>
      <c r="N39" s="401"/>
    </row>
    <row r="40" spans="2:14" ht="17.25" thickBot="1">
      <c r="B40" s="402" t="s">
        <v>1778</v>
      </c>
      <c r="C40" s="459" t="s">
        <v>1754</v>
      </c>
      <c r="D40" s="460"/>
      <c r="E40" s="459" t="s">
        <v>1754</v>
      </c>
      <c r="F40" s="460"/>
      <c r="G40" s="459" t="s">
        <v>1752</v>
      </c>
      <c r="H40" s="460"/>
      <c r="I40" s="459" t="s">
        <v>1753</v>
      </c>
      <c r="J40" s="464"/>
      <c r="K40" s="460"/>
      <c r="L40" s="403"/>
      <c r="M40" s="403"/>
      <c r="N40" s="404"/>
    </row>
  </sheetData>
  <mergeCells count="20">
    <mergeCell ref="C40:D40"/>
    <mergeCell ref="E40:F40"/>
    <mergeCell ref="G40:H40"/>
    <mergeCell ref="I40:K40"/>
    <mergeCell ref="C39:D39"/>
    <mergeCell ref="E39:F39"/>
    <mergeCell ref="G39:H39"/>
    <mergeCell ref="I39:K39"/>
    <mergeCell ref="B38:N38"/>
    <mergeCell ref="G33:H33"/>
    <mergeCell ref="I32:K32"/>
    <mergeCell ref="I33:K33"/>
    <mergeCell ref="C33:D33"/>
    <mergeCell ref="E32:F32"/>
    <mergeCell ref="E33:F33"/>
    <mergeCell ref="B1:N1"/>
    <mergeCell ref="B18:N18"/>
    <mergeCell ref="B31:N31"/>
    <mergeCell ref="C32:D32"/>
    <mergeCell ref="G32:H32"/>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BF1559"/>
  <sheetViews>
    <sheetView zoomScale="85" zoomScaleNormal="85" workbookViewId="0">
      <pane xSplit="4" ySplit="1" topLeftCell="E2" activePane="bottomRight" state="frozen"/>
      <selection activeCell="AN16" sqref="AN16"/>
      <selection pane="topRight" activeCell="AN16" sqref="AN16"/>
      <selection pane="bottomLeft" activeCell="AN16" sqref="AN16"/>
      <selection pane="bottomRight" activeCell="AN16" sqref="AN16"/>
    </sheetView>
  </sheetViews>
  <sheetFormatPr defaultRowHeight="15.75"/>
  <cols>
    <col min="1" max="1" width="5.5" style="139" customWidth="1"/>
    <col min="2" max="2" width="11" style="139" hidden="1" customWidth="1"/>
    <col min="3" max="3" width="10.125" style="139" bestFit="1" customWidth="1"/>
    <col min="4" max="4" width="63.5" style="140" customWidth="1"/>
    <col min="5" max="5" width="20" style="141" bestFit="1" customWidth="1"/>
    <col min="6" max="6" width="19.875" style="141" bestFit="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28.75" style="139" customWidth="1"/>
    <col min="18" max="18" width="11.125" style="139" bestFit="1" customWidth="1"/>
    <col min="19" max="19" width="16.125" style="168" bestFit="1" customWidth="1"/>
    <col min="20" max="20" width="11.75" style="139" bestFit="1" customWidth="1"/>
    <col min="21" max="21" width="9.625" style="139" bestFit="1" customWidth="1"/>
    <col min="22" max="22" width="7.625" style="139" bestFit="1" customWidth="1"/>
    <col min="23" max="23" width="16.625" style="139" bestFit="1" customWidth="1"/>
    <col min="24" max="24" width="16.625" style="139" hidden="1" customWidth="1"/>
    <col min="25" max="25" width="16.25" style="139" bestFit="1" customWidth="1"/>
    <col min="26" max="29" width="8.75" style="139" customWidth="1"/>
    <col min="30" max="30" width="0.625" style="172" customWidth="1"/>
    <col min="31" max="35" width="10.5" style="139" hidden="1" customWidth="1"/>
    <col min="36" max="36" width="10.75" style="139" bestFit="1" customWidth="1"/>
    <col min="37" max="38" width="9.125" style="139" bestFit="1" customWidth="1"/>
    <col min="39" max="39" width="10.75" style="139" bestFit="1" customWidth="1"/>
    <col min="40" max="40" width="10.875" style="139" bestFit="1" customWidth="1"/>
    <col min="41" max="41" width="0.625" style="172" customWidth="1"/>
    <col min="42" max="48" width="0" style="139" hidden="1" customWidth="1"/>
    <col min="49" max="49" width="11.875" style="139" hidden="1" customWidth="1"/>
    <col min="50" max="50" width="0" style="139" hidden="1" customWidth="1"/>
    <col min="51" max="51" width="10.75" style="139" hidden="1" customWidth="1"/>
    <col min="52" max="52" width="10" style="139" hidden="1" customWidth="1"/>
    <col min="53" max="53" width="10.25" style="139" hidden="1" customWidth="1"/>
    <col min="54" max="54" width="10.75" style="139" hidden="1" customWidth="1"/>
    <col min="55" max="58" width="0" style="139" hidden="1" customWidth="1"/>
    <col min="59" max="16384" width="9" style="139"/>
  </cols>
  <sheetData>
    <row r="1" spans="1:58" ht="32.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66" t="s">
        <v>1082</v>
      </c>
      <c r="S1" s="167" t="s">
        <v>1086</v>
      </c>
      <c r="T1" s="160" t="s">
        <v>1087</v>
      </c>
      <c r="U1" s="160" t="s">
        <v>1088</v>
      </c>
      <c r="V1" s="160" t="s">
        <v>1090</v>
      </c>
      <c r="W1" s="163" t="s">
        <v>1093</v>
      </c>
      <c r="X1" s="170" t="s">
        <v>1121</v>
      </c>
      <c r="Y1" s="171" t="s">
        <v>1094</v>
      </c>
      <c r="Z1" s="171" t="s">
        <v>1097</v>
      </c>
      <c r="AA1" s="171" t="s">
        <v>1098</v>
      </c>
      <c r="AB1" s="171" t="s">
        <v>1099</v>
      </c>
      <c r="AC1" s="171" t="s">
        <v>1100</v>
      </c>
      <c r="AE1" s="170" t="s">
        <v>1101</v>
      </c>
      <c r="AF1" s="170" t="s">
        <v>1102</v>
      </c>
      <c r="AG1" s="170" t="s">
        <v>1103</v>
      </c>
      <c r="AH1" s="170" t="s">
        <v>1104</v>
      </c>
      <c r="AI1" s="170" t="s">
        <v>1105</v>
      </c>
      <c r="AJ1" s="163" t="s">
        <v>1116</v>
      </c>
      <c r="AK1" s="163" t="s">
        <v>1117</v>
      </c>
      <c r="AL1" s="163" t="s">
        <v>1118</v>
      </c>
      <c r="AM1" s="163" t="s">
        <v>1119</v>
      </c>
      <c r="AN1" s="163" t="s">
        <v>1120</v>
      </c>
      <c r="AP1" s="310" t="s">
        <v>1450</v>
      </c>
      <c r="AQ1" s="310" t="s">
        <v>1445</v>
      </c>
      <c r="AR1" s="186" t="s">
        <v>1451</v>
      </c>
      <c r="AS1" s="165" t="s">
        <v>1452</v>
      </c>
      <c r="AT1" s="165" t="s">
        <v>1453</v>
      </c>
      <c r="AU1" s="311" t="s">
        <v>1454</v>
      </c>
      <c r="AV1" s="310" t="s">
        <v>1455</v>
      </c>
      <c r="AW1" s="310" t="s">
        <v>1456</v>
      </c>
      <c r="AX1" s="310" t="s">
        <v>1457</v>
      </c>
      <c r="AY1" s="165" t="s">
        <v>1458</v>
      </c>
      <c r="AZ1" s="165" t="s">
        <v>1459</v>
      </c>
      <c r="BA1" s="165" t="s">
        <v>1460</v>
      </c>
      <c r="BB1" s="165" t="s">
        <v>1461</v>
      </c>
      <c r="BC1" s="170" t="s">
        <v>1462</v>
      </c>
      <c r="BD1" s="170" t="s">
        <v>1463</v>
      </c>
      <c r="BE1" s="170" t="s">
        <v>1464</v>
      </c>
      <c r="BF1" s="170" t="s">
        <v>1465</v>
      </c>
    </row>
    <row r="2" spans="1:58" ht="16.5" thickTop="1">
      <c r="A2" s="139">
        <v>1</v>
      </c>
      <c r="C2" s="139" t="s">
        <v>1491</v>
      </c>
      <c r="D2" s="140" t="str">
        <f t="shared" ref="D2:D20" si="0">VLOOKUP($C2,TUANBV,2,0)</f>
        <v>Vật liệu trước khi đổ bê tông lót móng</v>
      </c>
      <c r="E2" s="141" t="str">
        <f t="shared" ref="E2:E20" si="1">VLOOKUP($C2,TUANBV,3,0)</f>
        <v>Nhà tiểu học 3 phòng</v>
      </c>
      <c r="F2" s="141" t="str">
        <f t="shared" ref="F2:F20" si="2">VLOOKUP($C2,TUANBV,4,0)</f>
        <v>Điểm TĐC Pom Chốn</v>
      </c>
      <c r="G2" s="141" t="str">
        <f t="shared" ref="G2:G20" si="3">VLOOKUP($C2,TUANBV,5,0)</f>
        <v>2/VLTH3PC</v>
      </c>
      <c r="H2" s="141" t="str">
        <f t="shared" ref="H2:H20" si="4">VLOOKUP($C2,TUANBV,6,0)</f>
        <v>2/VLTH3PC</v>
      </c>
      <c r="I2" s="141" t="str">
        <f t="shared" ref="I2:I20" si="5">VLOOKUP($C2,TUANBV,7,0)</f>
        <v>18</v>
      </c>
      <c r="J2" s="141" t="str">
        <f t="shared" ref="J2:J20" si="6">VLOOKUP($C2,TUANBV,8,0)</f>
        <v>08</v>
      </c>
      <c r="K2" s="142">
        <f t="shared" ref="K2:K20" si="7">VLOOKUP($C2,TUANBV,9,0)</f>
        <v>41869</v>
      </c>
      <c r="L2" s="141" t="str">
        <f t="shared" ref="L2:L20" si="8">VLOOKUP($C2,TUANBV,10,0)</f>
        <v>08 giờ 00</v>
      </c>
      <c r="M2" s="141" t="str">
        <f t="shared" ref="M2:M20" si="9">VLOOKUP($C2,TUANBV,11,0)</f>
        <v>09 giờ 00</v>
      </c>
      <c r="N2" s="141" t="str">
        <f t="shared" ref="N2:N20" si="10">VLOOKUP($C2,TUANBV,12,0)</f>
        <v>19</v>
      </c>
      <c r="O2" s="141" t="str">
        <f t="shared" ref="O2:O20" si="11">VLOOKUP($C2,TUANBV,13,0)</f>
        <v>08</v>
      </c>
      <c r="P2" s="142">
        <f t="shared" ref="P2:P20" si="12">VLOOKUP($C2,TUANBV,14,0)</f>
        <v>41870</v>
      </c>
      <c r="Q2" s="141" t="str">
        <f t="shared" ref="Q2:Q20" si="13">VLOOKUP($C2,TUANBV,15,0)</f>
        <v>Nguyễn Xuân Quỳnh</v>
      </c>
      <c r="R2" s="141" t="str">
        <f t="shared" ref="R2:R20" si="14">VLOOKUP($C2,TUANBV,16,0)</f>
        <v>Lê Văn Thái</v>
      </c>
      <c r="S2" s="168" t="str">
        <f t="shared" ref="S2:S20" si="15">VLOOKUP($A2,BANGBT,2,0)</f>
        <v>The Vissai PCB30</v>
      </c>
      <c r="T2" s="139" t="str">
        <f t="shared" ref="T2:T20" si="16">VLOOKUP($A2,BANGBT,3,0)</f>
        <v>vàng bê tông</v>
      </c>
      <c r="U2" s="141" t="str">
        <f t="shared" ref="U2:U20" si="17">VLOOKUP($A2,BANGBT,4,0)</f>
        <v>Đá 4x6cm</v>
      </c>
      <c r="V2" s="139" t="str">
        <f t="shared" ref="V2:V20" si="18">VLOOKUP($A2,BANGBT,5,0)</f>
        <v>Shengly</v>
      </c>
      <c r="W2" s="330">
        <f t="shared" ref="W2:W20" si="19">VLOOKUP($A2,BANGBT,6,0)</f>
        <v>8.6300000000000008</v>
      </c>
      <c r="X2" s="218" t="s">
        <v>1539</v>
      </c>
      <c r="Y2" s="139" t="str">
        <f t="shared" ref="Y2:Y20" si="20">VLOOKUP($A2,BANGBT,7,0)</f>
        <v>Bê tông mác 100#</v>
      </c>
      <c r="Z2" s="139">
        <f t="shared" ref="Z2:Z20" si="21">VLOOKUP($Y2,CPBT,2,0)</f>
        <v>187</v>
      </c>
      <c r="AA2" s="186">
        <f t="shared" ref="AA2:AA20" si="22">VLOOKUP($Y2,CPBT,3,0)</f>
        <v>0.502</v>
      </c>
      <c r="AB2" s="186">
        <f t="shared" ref="AB2:AB20" si="23">VLOOKUP($Y2,CPBT,4,0)</f>
        <v>0.89800000000000002</v>
      </c>
      <c r="AC2" s="186">
        <f t="shared" ref="AC2:AC20" si="24">VLOOKUP($Y2,CPBT,5,0)</f>
        <v>175</v>
      </c>
      <c r="AE2" s="177" t="s">
        <v>1547</v>
      </c>
      <c r="AF2" s="177" t="s">
        <v>1555</v>
      </c>
      <c r="AG2" s="177" t="s">
        <v>1563</v>
      </c>
      <c r="AH2" s="177" t="s">
        <v>1571</v>
      </c>
      <c r="AI2" s="218">
        <v>0</v>
      </c>
      <c r="AJ2" s="175">
        <f>ROUND($W2*Z2,2)</f>
        <v>1613.81</v>
      </c>
      <c r="AK2" s="175">
        <f t="shared" ref="AK2:AM2" si="25">ROUND($W2*AA2,2)</f>
        <v>4.33</v>
      </c>
      <c r="AL2" s="175">
        <f t="shared" si="25"/>
        <v>7.75</v>
      </c>
      <c r="AM2" s="175">
        <f t="shared" si="25"/>
        <v>1510.25</v>
      </c>
      <c r="AN2" s="175">
        <f t="shared" ref="AN2:AN20" si="26">VLOOKUP($A2,BANGBT,8,0)</f>
        <v>0</v>
      </c>
      <c r="AP2" s="186"/>
      <c r="AQ2" s="186"/>
      <c r="AR2" s="186"/>
      <c r="AS2" s="186"/>
      <c r="AT2" s="186"/>
      <c r="AU2" s="186"/>
      <c r="AV2" s="186"/>
      <c r="AW2" s="186"/>
      <c r="AX2" s="186"/>
      <c r="AY2" s="186"/>
      <c r="AZ2" s="186"/>
      <c r="BA2" s="186"/>
      <c r="BB2" s="186"/>
      <c r="BC2" s="159"/>
      <c r="BD2" s="159"/>
      <c r="BE2" s="159"/>
      <c r="BF2" s="159"/>
    </row>
    <row r="3" spans="1:58">
      <c r="A3" s="139">
        <v>2</v>
      </c>
      <c r="C3" s="186" t="s">
        <v>1495</v>
      </c>
      <c r="D3" s="140" t="str">
        <f t="shared" si="0"/>
        <v>Vật liệu trước khi đổ bê tông giằng móng</v>
      </c>
      <c r="E3" s="141" t="str">
        <f t="shared" si="1"/>
        <v>Nhà tiểu học 3 phòng</v>
      </c>
      <c r="F3" s="141" t="str">
        <f t="shared" si="2"/>
        <v>Điểm TĐC Pom Chốn</v>
      </c>
      <c r="G3" s="141" t="str">
        <f t="shared" si="3"/>
        <v>4/VLTH3PC</v>
      </c>
      <c r="H3" s="141" t="str">
        <f t="shared" si="4"/>
        <v>4/VLTH3PC</v>
      </c>
      <c r="I3" s="141" t="str">
        <f t="shared" si="5"/>
        <v>26</v>
      </c>
      <c r="J3" s="141" t="str">
        <f t="shared" si="6"/>
        <v>08</v>
      </c>
      <c r="K3" s="142">
        <f t="shared" si="7"/>
        <v>41877</v>
      </c>
      <c r="L3" s="141" t="str">
        <f t="shared" si="8"/>
        <v>08 giờ 00</v>
      </c>
      <c r="M3" s="141" t="str">
        <f t="shared" si="9"/>
        <v>09 giờ 00</v>
      </c>
      <c r="N3" s="141" t="str">
        <f t="shared" si="10"/>
        <v>27</v>
      </c>
      <c r="O3" s="141" t="str">
        <f t="shared" si="11"/>
        <v>08</v>
      </c>
      <c r="P3" s="142">
        <f t="shared" si="12"/>
        <v>41878</v>
      </c>
      <c r="Q3" s="141" t="str">
        <f t="shared" si="13"/>
        <v>Nguyễn Xuân Quỳnh</v>
      </c>
      <c r="R3" s="141" t="str">
        <f t="shared" si="14"/>
        <v>Lê Văn Thái</v>
      </c>
      <c r="S3" s="168" t="str">
        <f t="shared" si="15"/>
        <v>The Vissai PCB30</v>
      </c>
      <c r="T3" s="186" t="str">
        <f t="shared" si="16"/>
        <v>vàng bê tông</v>
      </c>
      <c r="U3" s="141" t="str">
        <f t="shared" si="17"/>
        <v>Đá 1x2cm</v>
      </c>
      <c r="V3" s="186" t="str">
        <f t="shared" si="18"/>
        <v>Shengly</v>
      </c>
      <c r="W3" s="330">
        <f t="shared" si="19"/>
        <v>2.0499999999999998</v>
      </c>
      <c r="X3" s="218" t="s">
        <v>1540</v>
      </c>
      <c r="Y3" s="186" t="str">
        <f t="shared" si="20"/>
        <v>Bê tông mác 200#</v>
      </c>
      <c r="Z3" s="186">
        <f t="shared" si="21"/>
        <v>341</v>
      </c>
      <c r="AA3" s="186">
        <f t="shared" si="22"/>
        <v>0.45</v>
      </c>
      <c r="AB3" s="186">
        <f t="shared" si="23"/>
        <v>0.86599999999999999</v>
      </c>
      <c r="AC3" s="186">
        <f t="shared" si="24"/>
        <v>195</v>
      </c>
      <c r="AE3" s="177" t="s">
        <v>1548</v>
      </c>
      <c r="AF3" s="177" t="s">
        <v>1556</v>
      </c>
      <c r="AG3" s="177" t="s">
        <v>1564</v>
      </c>
      <c r="AH3" s="177" t="s">
        <v>1572</v>
      </c>
      <c r="AI3" s="177" t="s">
        <v>1579</v>
      </c>
      <c r="AJ3" s="175">
        <f t="shared" ref="AJ3" si="27">ROUND($W3*Z3,2)</f>
        <v>699.05</v>
      </c>
      <c r="AK3" s="175">
        <f t="shared" ref="AK3" si="28">ROUND($W3*AA3,2)</f>
        <v>0.92</v>
      </c>
      <c r="AL3" s="175">
        <f t="shared" ref="AL3" si="29">ROUND($W3*AB3,2)</f>
        <v>1.78</v>
      </c>
      <c r="AM3" s="175">
        <f t="shared" ref="AM3" si="30">ROUND($W3*AC3,2)</f>
        <v>399.75</v>
      </c>
      <c r="AN3" s="175">
        <f t="shared" si="26"/>
        <v>197.32</v>
      </c>
      <c r="AO3" s="316"/>
      <c r="AP3" s="186"/>
      <c r="AQ3" s="186"/>
      <c r="AR3" s="186"/>
      <c r="AS3" s="186"/>
      <c r="AT3" s="186"/>
      <c r="AU3" s="186"/>
      <c r="AV3" s="186"/>
      <c r="AW3" s="186"/>
      <c r="AX3" s="186"/>
      <c r="AY3" s="186"/>
      <c r="AZ3" s="186"/>
      <c r="BA3" s="186"/>
      <c r="BB3" s="186"/>
      <c r="BC3" s="159"/>
      <c r="BD3" s="159"/>
      <c r="BE3" s="159"/>
      <c r="BF3" s="159"/>
    </row>
    <row r="4" spans="1:58" ht="31.5">
      <c r="A4" s="139">
        <v>3</v>
      </c>
      <c r="C4" s="186" t="s">
        <v>1499</v>
      </c>
      <c r="D4" s="140" t="str">
        <f t="shared" si="0"/>
        <v>Vật liệu trước khi đổ bê tông lanh tô cửa sổ và cửa đi</v>
      </c>
      <c r="E4" s="141" t="str">
        <f t="shared" si="1"/>
        <v>Nhà tiểu học 3 phòng</v>
      </c>
      <c r="F4" s="141" t="str">
        <f t="shared" si="2"/>
        <v>Điểm TĐC Pom Chốn</v>
      </c>
      <c r="G4" s="141" t="str">
        <f t="shared" si="3"/>
        <v>6/VLTH3PC</v>
      </c>
      <c r="H4" s="141" t="str">
        <f t="shared" si="4"/>
        <v>6/VLTH3PC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c r="S4" s="168" t="str">
        <f t="shared" si="15"/>
        <v>The Vissai PCB30</v>
      </c>
      <c r="T4" s="186" t="str">
        <f t="shared" si="16"/>
        <v>vàng bê tông</v>
      </c>
      <c r="U4" s="141" t="str">
        <f t="shared" si="17"/>
        <v>Đá 1x2cm</v>
      </c>
      <c r="V4" s="186" t="str">
        <f t="shared" si="18"/>
        <v>Shengly</v>
      </c>
      <c r="W4" s="330">
        <f t="shared" si="19"/>
        <v>0.78</v>
      </c>
      <c r="X4" s="218" t="s">
        <v>1541</v>
      </c>
      <c r="Y4" s="186" t="str">
        <f t="shared" si="20"/>
        <v>Bê tông mác 200#</v>
      </c>
      <c r="Z4" s="186">
        <f t="shared" si="21"/>
        <v>341</v>
      </c>
      <c r="AA4" s="186">
        <f t="shared" si="22"/>
        <v>0.45</v>
      </c>
      <c r="AB4" s="186">
        <f t="shared" si="23"/>
        <v>0.86599999999999999</v>
      </c>
      <c r="AC4" s="186">
        <f t="shared" si="24"/>
        <v>195</v>
      </c>
      <c r="AE4" s="177" t="s">
        <v>1549</v>
      </c>
      <c r="AF4" s="177" t="s">
        <v>1557</v>
      </c>
      <c r="AG4" s="177" t="s">
        <v>1565</v>
      </c>
      <c r="AH4" s="177" t="s">
        <v>1573</v>
      </c>
      <c r="AI4" s="177" t="s">
        <v>1580</v>
      </c>
      <c r="AJ4" s="175">
        <f t="shared" ref="AJ4:AJ9" si="31">ROUND($W4*Z4,2)</f>
        <v>265.98</v>
      </c>
      <c r="AK4" s="175">
        <f t="shared" ref="AK4:AK9" si="32">ROUND($W4*AA4,2)</f>
        <v>0.35</v>
      </c>
      <c r="AL4" s="175">
        <f t="shared" ref="AL4:AL9" si="33">ROUND($W4*AB4,2)</f>
        <v>0.68</v>
      </c>
      <c r="AM4" s="175">
        <f t="shared" ref="AM4:AM9" si="34">ROUND($W4*AC4,2)</f>
        <v>152.1</v>
      </c>
      <c r="AN4" s="175">
        <f t="shared" si="26"/>
        <v>60</v>
      </c>
      <c r="AO4" s="316"/>
      <c r="AP4" s="186"/>
      <c r="AQ4" s="186"/>
      <c r="AR4" s="186"/>
      <c r="AS4" s="186"/>
      <c r="AT4" s="186"/>
      <c r="AU4" s="186"/>
      <c r="AV4" s="186"/>
      <c r="AW4" s="186"/>
      <c r="AX4" s="186"/>
      <c r="AY4" s="186"/>
      <c r="AZ4" s="186"/>
      <c r="BA4" s="186"/>
      <c r="BB4" s="186"/>
      <c r="BC4" s="159"/>
      <c r="BD4" s="159"/>
      <c r="BE4" s="159"/>
      <c r="BF4" s="159"/>
    </row>
    <row r="5" spans="1:58" ht="31.5">
      <c r="A5" s="186">
        <v>4</v>
      </c>
      <c r="C5" s="186" t="s">
        <v>1504</v>
      </c>
      <c r="D5" s="140" t="str">
        <f t="shared" si="0"/>
        <v>Vật liệu trước khi đổ bê tông dầm D1, D2, D3, D4, D4A, D4B, bê tông sàn, sê nô thu nước</v>
      </c>
      <c r="E5" s="141" t="str">
        <f t="shared" si="1"/>
        <v>Nhà tiểu học 3 phòng</v>
      </c>
      <c r="F5" s="141" t="str">
        <f t="shared" si="2"/>
        <v>Điểm TĐC Pom Chốn</v>
      </c>
      <c r="G5" s="141" t="str">
        <f t="shared" si="3"/>
        <v>8/VLTH3PC</v>
      </c>
      <c r="H5" s="141" t="str">
        <f t="shared" si="4"/>
        <v>8/VLTH3PC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Nguyễn Xuân Quỳnh</v>
      </c>
      <c r="R5" s="141" t="str">
        <f t="shared" si="14"/>
        <v>Lê Văn Thái</v>
      </c>
      <c r="S5" s="168" t="str">
        <f t="shared" si="15"/>
        <v>The Vissai PCB30</v>
      </c>
      <c r="T5" s="186" t="str">
        <f t="shared" si="16"/>
        <v>vàng bê tông</v>
      </c>
      <c r="U5" s="141" t="str">
        <f t="shared" si="17"/>
        <v>Đá 1x2cm</v>
      </c>
      <c r="V5" s="186" t="str">
        <f t="shared" si="18"/>
        <v>Shengly</v>
      </c>
      <c r="W5" s="330">
        <f t="shared" si="19"/>
        <v>23.98</v>
      </c>
      <c r="X5" s="218" t="s">
        <v>1542</v>
      </c>
      <c r="Y5" s="186" t="str">
        <f t="shared" si="20"/>
        <v>Bê tông mác 200#</v>
      </c>
      <c r="Z5" s="186">
        <f t="shared" si="21"/>
        <v>341</v>
      </c>
      <c r="AA5" s="186">
        <f t="shared" si="22"/>
        <v>0.45</v>
      </c>
      <c r="AB5" s="186">
        <f t="shared" si="23"/>
        <v>0.86599999999999999</v>
      </c>
      <c r="AC5" s="186">
        <f t="shared" si="24"/>
        <v>195</v>
      </c>
      <c r="AE5" s="177" t="s">
        <v>1550</v>
      </c>
      <c r="AF5" s="177" t="s">
        <v>1558</v>
      </c>
      <c r="AG5" s="177" t="s">
        <v>1566</v>
      </c>
      <c r="AH5" s="177" t="s">
        <v>1574</v>
      </c>
      <c r="AI5" s="177" t="s">
        <v>1581</v>
      </c>
      <c r="AJ5" s="175">
        <f t="shared" si="31"/>
        <v>8177.18</v>
      </c>
      <c r="AK5" s="175">
        <f t="shared" si="32"/>
        <v>10.79</v>
      </c>
      <c r="AL5" s="175">
        <f t="shared" si="33"/>
        <v>20.77</v>
      </c>
      <c r="AM5" s="175">
        <f t="shared" si="34"/>
        <v>4676.1000000000004</v>
      </c>
      <c r="AN5" s="175">
        <f t="shared" si="26"/>
        <v>2090</v>
      </c>
      <c r="AO5" s="316"/>
      <c r="AP5" s="186">
        <v>0.53800000000000003</v>
      </c>
      <c r="AQ5" s="186">
        <v>0.89300000000000002</v>
      </c>
      <c r="AR5" s="186"/>
      <c r="AS5" s="176">
        <f>W5*AP5</f>
        <v>12.901240000000001</v>
      </c>
      <c r="AT5" s="176">
        <f>W5*AQ5</f>
        <v>21.41414</v>
      </c>
      <c r="AU5" s="186"/>
      <c r="AV5" s="186">
        <v>230.02</v>
      </c>
      <c r="AW5" s="186">
        <v>1.1200000000000001</v>
      </c>
      <c r="AX5" s="186">
        <v>260</v>
      </c>
      <c r="AY5" s="176">
        <f>ROUND(AS5*AV5,2)</f>
        <v>2967.54</v>
      </c>
      <c r="AZ5" s="176">
        <f>ROUND(AS5*AW5,2)</f>
        <v>14.45</v>
      </c>
      <c r="BA5" s="176">
        <f>ROUND(AT5,2)</f>
        <v>21.41</v>
      </c>
      <c r="BB5" s="176">
        <f>ROUND(AX5*AS5,2)</f>
        <v>3354.32</v>
      </c>
      <c r="BC5" s="150" t="s">
        <v>1446</v>
      </c>
      <c r="BD5" s="150" t="s">
        <v>1447</v>
      </c>
      <c r="BE5" s="150" t="s">
        <v>1448</v>
      </c>
      <c r="BF5" s="150" t="s">
        <v>1449</v>
      </c>
    </row>
    <row r="6" spans="1:58" ht="31.5">
      <c r="A6" s="186">
        <v>5</v>
      </c>
      <c r="C6" s="186" t="s">
        <v>1509</v>
      </c>
      <c r="D6" s="140" t="str">
        <f t="shared" si="0"/>
        <v>Vật liệu trước khi đổ bê tông giằng tường thu hồi</v>
      </c>
      <c r="E6" s="141" t="str">
        <f t="shared" si="1"/>
        <v>Nhà tiểu học 3 phòng</v>
      </c>
      <c r="F6" s="141" t="str">
        <f t="shared" si="2"/>
        <v>Điểm TĐC Pom Chốn</v>
      </c>
      <c r="G6" s="141" t="str">
        <f t="shared" si="3"/>
        <v>10/VLTH3PC</v>
      </c>
      <c r="H6" s="141" t="str">
        <f t="shared" si="4"/>
        <v>10/VLTH3PC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c r="S6" s="168" t="str">
        <f t="shared" si="15"/>
        <v>The Vissai PCB30</v>
      </c>
      <c r="T6" s="186" t="str">
        <f t="shared" si="16"/>
        <v>vàng bê tông</v>
      </c>
      <c r="U6" s="141" t="str">
        <f t="shared" si="17"/>
        <v>Đá 1x2cm</v>
      </c>
      <c r="V6" s="186" t="str">
        <f t="shared" si="18"/>
        <v>Shengly</v>
      </c>
      <c r="W6" s="330">
        <f t="shared" si="19"/>
        <v>1.1100000000000001</v>
      </c>
      <c r="X6" s="218" t="s">
        <v>1543</v>
      </c>
      <c r="Y6" s="186" t="str">
        <f t="shared" si="20"/>
        <v>Bê tông mác 200#</v>
      </c>
      <c r="Z6" s="186">
        <f t="shared" si="21"/>
        <v>341</v>
      </c>
      <c r="AA6" s="186">
        <f t="shared" si="22"/>
        <v>0.45</v>
      </c>
      <c r="AB6" s="186">
        <f t="shared" si="23"/>
        <v>0.86599999999999999</v>
      </c>
      <c r="AC6" s="186">
        <f t="shared" si="24"/>
        <v>195</v>
      </c>
      <c r="AE6" s="177" t="s">
        <v>1551</v>
      </c>
      <c r="AF6" s="177" t="s">
        <v>1559</v>
      </c>
      <c r="AG6" s="177" t="s">
        <v>1567</v>
      </c>
      <c r="AH6" s="177" t="s">
        <v>1575</v>
      </c>
      <c r="AI6" s="177" t="s">
        <v>1582</v>
      </c>
      <c r="AJ6" s="175">
        <f t="shared" si="31"/>
        <v>378.51</v>
      </c>
      <c r="AK6" s="175">
        <f t="shared" si="32"/>
        <v>0.5</v>
      </c>
      <c r="AL6" s="175">
        <f t="shared" si="33"/>
        <v>0.96</v>
      </c>
      <c r="AM6" s="175">
        <f t="shared" si="34"/>
        <v>216.45</v>
      </c>
      <c r="AN6" s="175">
        <f t="shared" si="26"/>
        <v>80</v>
      </c>
      <c r="AO6" s="316"/>
    </row>
    <row r="7" spans="1:58" ht="31.5">
      <c r="A7" s="186">
        <v>6</v>
      </c>
      <c r="C7" s="186" t="s">
        <v>1514</v>
      </c>
      <c r="D7" s="140" t="str">
        <f t="shared" si="0"/>
        <v>Vật liệu trước khi đổ bê tông Lam trang trí</v>
      </c>
      <c r="E7" s="141" t="str">
        <f t="shared" si="1"/>
        <v>Nhà tiểu học 3 phòng</v>
      </c>
      <c r="F7" s="141" t="str">
        <f t="shared" si="2"/>
        <v>Điểm TĐC Pom Chốn</v>
      </c>
      <c r="G7" s="141" t="str">
        <f t="shared" si="3"/>
        <v>11/VLTH3PC</v>
      </c>
      <c r="H7" s="141" t="str">
        <f t="shared" si="4"/>
        <v>11/VLTH3PC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c r="S7" s="168" t="str">
        <f t="shared" si="15"/>
        <v>The Vissai PCB30</v>
      </c>
      <c r="T7" s="186" t="str">
        <f t="shared" si="16"/>
        <v>vàng bê tông</v>
      </c>
      <c r="U7" s="141" t="str">
        <f t="shared" si="17"/>
        <v>Đá 1x2cm</v>
      </c>
      <c r="V7" s="186" t="str">
        <f t="shared" si="18"/>
        <v>Shengly</v>
      </c>
      <c r="W7" s="330">
        <f t="shared" si="19"/>
        <v>0.68</v>
      </c>
      <c r="X7" s="218" t="s">
        <v>1544</v>
      </c>
      <c r="Y7" s="186" t="str">
        <f t="shared" si="20"/>
        <v>Bê tông mác 200#</v>
      </c>
      <c r="Z7" s="186">
        <f t="shared" si="21"/>
        <v>341</v>
      </c>
      <c r="AA7" s="186">
        <f t="shared" si="22"/>
        <v>0.45</v>
      </c>
      <c r="AB7" s="186">
        <f t="shared" si="23"/>
        <v>0.86599999999999999</v>
      </c>
      <c r="AC7" s="186">
        <f t="shared" si="24"/>
        <v>195</v>
      </c>
      <c r="AE7" s="177" t="s">
        <v>1552</v>
      </c>
      <c r="AF7" s="177" t="s">
        <v>1560</v>
      </c>
      <c r="AG7" s="177" t="s">
        <v>1568</v>
      </c>
      <c r="AH7" s="177" t="s">
        <v>1576</v>
      </c>
      <c r="AI7" s="177" t="s">
        <v>1583</v>
      </c>
      <c r="AJ7" s="175">
        <f t="shared" si="31"/>
        <v>231.88</v>
      </c>
      <c r="AK7" s="175">
        <f t="shared" si="32"/>
        <v>0.31</v>
      </c>
      <c r="AL7" s="175">
        <f t="shared" si="33"/>
        <v>0.59</v>
      </c>
      <c r="AM7" s="175">
        <f t="shared" si="34"/>
        <v>132.6</v>
      </c>
      <c r="AN7" s="175">
        <f t="shared" si="26"/>
        <v>120</v>
      </c>
      <c r="AO7" s="316"/>
    </row>
    <row r="8" spans="1:58">
      <c r="A8" s="186">
        <v>7</v>
      </c>
      <c r="C8" s="186" t="s">
        <v>1519</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c r="S8" s="168">
        <f t="shared" si="15"/>
        <v>0</v>
      </c>
      <c r="T8" s="186">
        <f t="shared" si="16"/>
        <v>0</v>
      </c>
      <c r="U8" s="141">
        <f t="shared" si="17"/>
        <v>0</v>
      </c>
      <c r="V8" s="186">
        <f t="shared" si="18"/>
        <v>0</v>
      </c>
      <c r="W8" s="330">
        <f t="shared" si="19"/>
        <v>0</v>
      </c>
      <c r="X8" s="218" t="s">
        <v>1545</v>
      </c>
      <c r="Y8" s="186">
        <f t="shared" si="20"/>
        <v>0</v>
      </c>
      <c r="Z8" s="186" t="e">
        <f t="shared" si="21"/>
        <v>#N/A</v>
      </c>
      <c r="AA8" s="186" t="e">
        <f t="shared" si="22"/>
        <v>#N/A</v>
      </c>
      <c r="AB8" s="186" t="e">
        <f t="shared" si="23"/>
        <v>#N/A</v>
      </c>
      <c r="AC8" s="186" t="e">
        <f t="shared" si="24"/>
        <v>#N/A</v>
      </c>
      <c r="AE8" s="177" t="s">
        <v>1553</v>
      </c>
      <c r="AF8" s="177" t="s">
        <v>1561</v>
      </c>
      <c r="AG8" s="177" t="s">
        <v>1569</v>
      </c>
      <c r="AH8" s="177" t="s">
        <v>1577</v>
      </c>
      <c r="AI8" s="177" t="s">
        <v>1584</v>
      </c>
      <c r="AJ8" s="175" t="e">
        <f t="shared" si="31"/>
        <v>#N/A</v>
      </c>
      <c r="AK8" s="175" t="e">
        <f t="shared" si="32"/>
        <v>#N/A</v>
      </c>
      <c r="AL8" s="175" t="e">
        <f t="shared" si="33"/>
        <v>#N/A</v>
      </c>
      <c r="AM8" s="175" t="e">
        <f t="shared" si="34"/>
        <v>#N/A</v>
      </c>
      <c r="AN8" s="175">
        <f t="shared" si="26"/>
        <v>0</v>
      </c>
    </row>
    <row r="9" spans="1:58">
      <c r="A9" s="186">
        <v>8</v>
      </c>
      <c r="C9" s="186" t="s">
        <v>1529</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c r="S9" s="168">
        <f t="shared" si="15"/>
        <v>0</v>
      </c>
      <c r="T9" s="186">
        <f t="shared" si="16"/>
        <v>0</v>
      </c>
      <c r="U9" s="141">
        <f t="shared" si="17"/>
        <v>0</v>
      </c>
      <c r="V9" s="186">
        <f t="shared" si="18"/>
        <v>0</v>
      </c>
      <c r="W9" s="330">
        <f t="shared" si="19"/>
        <v>0</v>
      </c>
      <c r="X9" s="218" t="s">
        <v>1546</v>
      </c>
      <c r="Y9" s="186">
        <f t="shared" si="20"/>
        <v>0</v>
      </c>
      <c r="Z9" s="186" t="e">
        <f t="shared" si="21"/>
        <v>#N/A</v>
      </c>
      <c r="AA9" s="186" t="e">
        <f t="shared" si="22"/>
        <v>#N/A</v>
      </c>
      <c r="AB9" s="186" t="e">
        <f t="shared" si="23"/>
        <v>#N/A</v>
      </c>
      <c r="AC9" s="186" t="e">
        <f t="shared" si="24"/>
        <v>#N/A</v>
      </c>
      <c r="AE9" s="177" t="s">
        <v>1554</v>
      </c>
      <c r="AF9" s="177" t="s">
        <v>1562</v>
      </c>
      <c r="AG9" s="177" t="s">
        <v>1570</v>
      </c>
      <c r="AH9" s="177" t="s">
        <v>1578</v>
      </c>
      <c r="AI9" s="177" t="s">
        <v>1585</v>
      </c>
      <c r="AJ9" s="175" t="e">
        <f t="shared" si="31"/>
        <v>#N/A</v>
      </c>
      <c r="AK9" s="175" t="e">
        <f t="shared" si="32"/>
        <v>#N/A</v>
      </c>
      <c r="AL9" s="175" t="e">
        <f t="shared" si="33"/>
        <v>#N/A</v>
      </c>
      <c r="AM9" s="175" t="e">
        <f t="shared" si="34"/>
        <v>#N/A</v>
      </c>
      <c r="AN9" s="175">
        <f t="shared" si="26"/>
        <v>0</v>
      </c>
    </row>
    <row r="10" spans="1:58">
      <c r="A10" s="186">
        <v>9</v>
      </c>
      <c r="B10" s="186"/>
      <c r="C10" s="186" t="s">
        <v>1640</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c r="S10" s="168">
        <f t="shared" si="15"/>
        <v>0</v>
      </c>
      <c r="T10" s="186">
        <f t="shared" si="16"/>
        <v>0</v>
      </c>
      <c r="U10" s="141">
        <f t="shared" si="17"/>
        <v>0</v>
      </c>
      <c r="V10" s="186">
        <f t="shared" si="18"/>
        <v>0</v>
      </c>
      <c r="W10" s="330">
        <f t="shared" si="19"/>
        <v>0</v>
      </c>
      <c r="X10" s="218" t="s">
        <v>1546</v>
      </c>
      <c r="Y10" s="186">
        <f t="shared" si="20"/>
        <v>0</v>
      </c>
      <c r="Z10" s="186" t="e">
        <f t="shared" si="21"/>
        <v>#N/A</v>
      </c>
      <c r="AA10" s="186" t="e">
        <f t="shared" si="22"/>
        <v>#N/A</v>
      </c>
      <c r="AB10" s="186" t="e">
        <f t="shared" si="23"/>
        <v>#N/A</v>
      </c>
      <c r="AC10" s="186" t="e">
        <f t="shared" si="24"/>
        <v>#N/A</v>
      </c>
      <c r="AE10" s="177"/>
      <c r="AF10" s="177"/>
      <c r="AG10" s="177"/>
      <c r="AH10" s="177"/>
      <c r="AI10" s="177"/>
      <c r="AJ10" s="175" t="e">
        <f t="shared" ref="AJ10:AJ20" si="35">ROUND($W10*Z10,2)</f>
        <v>#N/A</v>
      </c>
      <c r="AK10" s="175" t="e">
        <f t="shared" ref="AK10:AK20" si="36">ROUND($W10*AA10,2)</f>
        <v>#N/A</v>
      </c>
      <c r="AL10" s="175" t="e">
        <f t="shared" ref="AL10:AL20" si="37">ROUND($W10*AB10,2)</f>
        <v>#N/A</v>
      </c>
      <c r="AM10" s="175" t="e">
        <f t="shared" ref="AM10:AM20" si="38">ROUND($W10*AC10,2)</f>
        <v>#N/A</v>
      </c>
      <c r="AN10" s="175">
        <f t="shared" si="26"/>
        <v>0</v>
      </c>
    </row>
    <row r="11" spans="1:58" ht="31.5">
      <c r="A11" s="186">
        <v>10</v>
      </c>
      <c r="B11" s="186"/>
      <c r="C11" s="186" t="s">
        <v>1641</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68">
        <f t="shared" si="15"/>
        <v>0</v>
      </c>
      <c r="T11" s="186">
        <f t="shared" si="16"/>
        <v>0</v>
      </c>
      <c r="U11" s="141">
        <f t="shared" si="17"/>
        <v>0</v>
      </c>
      <c r="V11" s="186">
        <f t="shared" si="18"/>
        <v>0</v>
      </c>
      <c r="W11" s="330">
        <f t="shared" si="19"/>
        <v>0</v>
      </c>
      <c r="X11" s="218" t="s">
        <v>1546</v>
      </c>
      <c r="Y11" s="186">
        <f t="shared" si="20"/>
        <v>0</v>
      </c>
      <c r="Z11" s="186" t="e">
        <f t="shared" si="21"/>
        <v>#N/A</v>
      </c>
      <c r="AA11" s="186" t="e">
        <f t="shared" si="22"/>
        <v>#N/A</v>
      </c>
      <c r="AB11" s="186" t="e">
        <f t="shared" si="23"/>
        <v>#N/A</v>
      </c>
      <c r="AC11" s="186" t="e">
        <f t="shared" si="24"/>
        <v>#N/A</v>
      </c>
      <c r="AJ11" s="175" t="e">
        <f t="shared" si="35"/>
        <v>#N/A</v>
      </c>
      <c r="AK11" s="175" t="e">
        <f t="shared" si="36"/>
        <v>#N/A</v>
      </c>
      <c r="AL11" s="175" t="e">
        <f t="shared" si="37"/>
        <v>#N/A</v>
      </c>
      <c r="AM11" s="175" t="e">
        <f t="shared" si="38"/>
        <v>#N/A</v>
      </c>
      <c r="AN11" s="175">
        <f t="shared" si="26"/>
        <v>0</v>
      </c>
      <c r="AV11" s="139" t="s">
        <v>1467</v>
      </c>
      <c r="AW11" s="186">
        <v>230.02</v>
      </c>
      <c r="AX11" s="186">
        <v>1.1200000000000001</v>
      </c>
      <c r="AY11" s="186">
        <v>260</v>
      </c>
    </row>
    <row r="12" spans="1:58">
      <c r="A12" s="186">
        <v>11</v>
      </c>
      <c r="B12" s="186"/>
      <c r="C12" s="186" t="s">
        <v>1642</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c r="S12" s="168">
        <f t="shared" si="15"/>
        <v>0</v>
      </c>
      <c r="T12" s="186">
        <f t="shared" si="16"/>
        <v>0</v>
      </c>
      <c r="U12" s="141">
        <f t="shared" si="17"/>
        <v>0</v>
      </c>
      <c r="V12" s="186">
        <f t="shared" si="18"/>
        <v>0</v>
      </c>
      <c r="W12" s="330">
        <f t="shared" si="19"/>
        <v>0</v>
      </c>
      <c r="X12" s="218" t="s">
        <v>1546</v>
      </c>
      <c r="Y12" s="186">
        <f t="shared" si="20"/>
        <v>0</v>
      </c>
      <c r="Z12" s="186" t="e">
        <f t="shared" si="21"/>
        <v>#N/A</v>
      </c>
      <c r="AA12" s="186" t="e">
        <f t="shared" si="22"/>
        <v>#N/A</v>
      </c>
      <c r="AB12" s="186" t="e">
        <f t="shared" si="23"/>
        <v>#N/A</v>
      </c>
      <c r="AC12" s="186" t="e">
        <f t="shared" si="24"/>
        <v>#N/A</v>
      </c>
      <c r="AJ12" s="175" t="e">
        <f t="shared" si="35"/>
        <v>#N/A</v>
      </c>
      <c r="AK12" s="175" t="e">
        <f t="shared" si="36"/>
        <v>#N/A</v>
      </c>
      <c r="AL12" s="175" t="e">
        <f t="shared" si="37"/>
        <v>#N/A</v>
      </c>
      <c r="AM12" s="175" t="e">
        <f t="shared" si="38"/>
        <v>#N/A</v>
      </c>
      <c r="AN12" s="175">
        <f t="shared" si="26"/>
        <v>0</v>
      </c>
      <c r="AV12" s="139">
        <v>0.53800000000000003</v>
      </c>
      <c r="AW12" s="139">
        <f>ROUND(AW11*$AV$12,2)</f>
        <v>123.75</v>
      </c>
      <c r="AX12" s="186">
        <f t="shared" ref="AX12:AY12" si="39">ROUND(AX11*$AV$12,2)</f>
        <v>0.6</v>
      </c>
      <c r="AY12" s="186">
        <f t="shared" si="39"/>
        <v>139.88</v>
      </c>
    </row>
    <row r="13" spans="1:58" s="186" customFormat="1">
      <c r="A13" s="186">
        <v>12</v>
      </c>
      <c r="C13" s="186" t="s">
        <v>1643</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c r="S13" s="168">
        <f t="shared" si="15"/>
        <v>0</v>
      </c>
      <c r="T13" s="186">
        <f t="shared" si="16"/>
        <v>0</v>
      </c>
      <c r="U13" s="141">
        <f t="shared" si="17"/>
        <v>0</v>
      </c>
      <c r="V13" s="186">
        <f t="shared" si="18"/>
        <v>0</v>
      </c>
      <c r="W13" s="330">
        <f t="shared" si="19"/>
        <v>0</v>
      </c>
      <c r="X13" s="218" t="s">
        <v>1546</v>
      </c>
      <c r="Y13" s="186">
        <f t="shared" si="20"/>
        <v>0</v>
      </c>
      <c r="Z13" s="186" t="e">
        <f t="shared" si="21"/>
        <v>#N/A</v>
      </c>
      <c r="AA13" s="186" t="e">
        <f t="shared" si="22"/>
        <v>#N/A</v>
      </c>
      <c r="AB13" s="186" t="e">
        <f t="shared" si="23"/>
        <v>#N/A</v>
      </c>
      <c r="AC13" s="186" t="e">
        <f t="shared" si="24"/>
        <v>#N/A</v>
      </c>
      <c r="AD13" s="141">
        <v>30</v>
      </c>
      <c r="AE13" s="186">
        <v>31</v>
      </c>
      <c r="AF13" s="141">
        <v>32</v>
      </c>
      <c r="AG13" s="186">
        <v>33</v>
      </c>
      <c r="AH13" s="141">
        <v>34</v>
      </c>
      <c r="AI13" s="186">
        <v>35</v>
      </c>
      <c r="AJ13" s="175" t="e">
        <f t="shared" si="35"/>
        <v>#N/A</v>
      </c>
      <c r="AK13" s="175" t="e">
        <f t="shared" si="36"/>
        <v>#N/A</v>
      </c>
      <c r="AL13" s="175" t="e">
        <f t="shared" si="37"/>
        <v>#N/A</v>
      </c>
      <c r="AM13" s="175" t="e">
        <f t="shared" si="38"/>
        <v>#N/A</v>
      </c>
      <c r="AN13" s="175">
        <f t="shared" si="26"/>
        <v>0</v>
      </c>
      <c r="AO13" s="172"/>
    </row>
    <row r="14" spans="1:58">
      <c r="A14" s="186">
        <v>13</v>
      </c>
      <c r="B14" s="186"/>
      <c r="C14" s="186" t="s">
        <v>1644</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c r="S14" s="168">
        <f t="shared" si="15"/>
        <v>0</v>
      </c>
      <c r="T14" s="186">
        <f t="shared" si="16"/>
        <v>0</v>
      </c>
      <c r="U14" s="141">
        <f t="shared" si="17"/>
        <v>0</v>
      </c>
      <c r="V14" s="186">
        <f t="shared" si="18"/>
        <v>0</v>
      </c>
      <c r="W14" s="330">
        <f t="shared" si="19"/>
        <v>0</v>
      </c>
      <c r="X14" s="218" t="s">
        <v>1546</v>
      </c>
      <c r="Y14" s="186">
        <f t="shared" si="20"/>
        <v>0</v>
      </c>
      <c r="Z14" s="186" t="e">
        <f t="shared" si="21"/>
        <v>#N/A</v>
      </c>
      <c r="AA14" s="186" t="e">
        <f t="shared" si="22"/>
        <v>#N/A</v>
      </c>
      <c r="AB14" s="186" t="e">
        <f t="shared" si="23"/>
        <v>#N/A</v>
      </c>
      <c r="AC14" s="186" t="e">
        <f t="shared" si="24"/>
        <v>#N/A</v>
      </c>
      <c r="AJ14" s="175" t="e">
        <f t="shared" si="35"/>
        <v>#N/A</v>
      </c>
      <c r="AK14" s="175" t="e">
        <f t="shared" si="36"/>
        <v>#N/A</v>
      </c>
      <c r="AL14" s="175" t="e">
        <f t="shared" si="37"/>
        <v>#N/A</v>
      </c>
      <c r="AM14" s="175" t="e">
        <f t="shared" si="38"/>
        <v>#N/A</v>
      </c>
      <c r="AN14" s="175">
        <f t="shared" si="26"/>
        <v>0</v>
      </c>
    </row>
    <row r="15" spans="1:58">
      <c r="A15" s="186">
        <v>14</v>
      </c>
      <c r="B15" s="186"/>
      <c r="C15" s="186" t="s">
        <v>1645</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c r="S15" s="168">
        <f t="shared" si="15"/>
        <v>0</v>
      </c>
      <c r="T15" s="186">
        <f t="shared" si="16"/>
        <v>0</v>
      </c>
      <c r="U15" s="141">
        <f t="shared" si="17"/>
        <v>0</v>
      </c>
      <c r="V15" s="186">
        <f t="shared" si="18"/>
        <v>0</v>
      </c>
      <c r="W15" s="330">
        <f t="shared" si="19"/>
        <v>0</v>
      </c>
      <c r="X15" s="218" t="s">
        <v>1546</v>
      </c>
      <c r="Y15" s="186">
        <f t="shared" si="20"/>
        <v>0</v>
      </c>
      <c r="Z15" s="186" t="e">
        <f t="shared" si="21"/>
        <v>#N/A</v>
      </c>
      <c r="AA15" s="186" t="e">
        <f t="shared" si="22"/>
        <v>#N/A</v>
      </c>
      <c r="AB15" s="186" t="e">
        <f t="shared" si="23"/>
        <v>#N/A</v>
      </c>
      <c r="AC15" s="186" t="e">
        <f t="shared" si="24"/>
        <v>#N/A</v>
      </c>
      <c r="AJ15" s="175" t="e">
        <f t="shared" si="35"/>
        <v>#N/A</v>
      </c>
      <c r="AK15" s="175" t="e">
        <f t="shared" si="36"/>
        <v>#N/A</v>
      </c>
      <c r="AL15" s="175" t="e">
        <f t="shared" si="37"/>
        <v>#N/A</v>
      </c>
      <c r="AM15" s="175" t="e">
        <f t="shared" si="38"/>
        <v>#N/A</v>
      </c>
      <c r="AN15" s="175">
        <f t="shared" si="26"/>
        <v>0</v>
      </c>
    </row>
    <row r="16" spans="1:58">
      <c r="A16" s="186">
        <v>15</v>
      </c>
      <c r="B16" s="186"/>
      <c r="C16" s="186" t="s">
        <v>1646</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c r="S16" s="168">
        <f t="shared" si="15"/>
        <v>0</v>
      </c>
      <c r="T16" s="186">
        <f t="shared" si="16"/>
        <v>0</v>
      </c>
      <c r="U16" s="141">
        <f t="shared" si="17"/>
        <v>0</v>
      </c>
      <c r="V16" s="186">
        <f t="shared" si="18"/>
        <v>0</v>
      </c>
      <c r="W16" s="330">
        <f t="shared" si="19"/>
        <v>0</v>
      </c>
      <c r="X16" s="218" t="s">
        <v>1546</v>
      </c>
      <c r="Y16" s="186">
        <f t="shared" si="20"/>
        <v>0</v>
      </c>
      <c r="Z16" s="186" t="e">
        <f t="shared" si="21"/>
        <v>#N/A</v>
      </c>
      <c r="AA16" s="186" t="e">
        <f t="shared" si="22"/>
        <v>#N/A</v>
      </c>
      <c r="AB16" s="186" t="e">
        <f t="shared" si="23"/>
        <v>#N/A</v>
      </c>
      <c r="AC16" s="186" t="e">
        <f t="shared" si="24"/>
        <v>#N/A</v>
      </c>
      <c r="AJ16" s="175" t="e">
        <f t="shared" si="35"/>
        <v>#N/A</v>
      </c>
      <c r="AK16" s="175" t="e">
        <f t="shared" si="36"/>
        <v>#N/A</v>
      </c>
      <c r="AL16" s="175" t="e">
        <f t="shared" si="37"/>
        <v>#N/A</v>
      </c>
      <c r="AM16" s="175" t="e">
        <f t="shared" si="38"/>
        <v>#N/A</v>
      </c>
      <c r="AN16" s="175">
        <f t="shared" si="26"/>
        <v>0</v>
      </c>
    </row>
    <row r="17" spans="1:41">
      <c r="A17" s="186">
        <v>16</v>
      </c>
      <c r="B17" s="186"/>
      <c r="C17" s="186" t="s">
        <v>1658</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c r="S17" s="168" t="e">
        <f t="shared" si="15"/>
        <v>#N/A</v>
      </c>
      <c r="T17" s="186" t="e">
        <f t="shared" si="16"/>
        <v>#N/A</v>
      </c>
      <c r="U17" s="141" t="e">
        <f t="shared" si="17"/>
        <v>#N/A</v>
      </c>
      <c r="V17" s="186" t="e">
        <f t="shared" si="18"/>
        <v>#N/A</v>
      </c>
      <c r="W17" s="330" t="e">
        <f t="shared" si="19"/>
        <v>#N/A</v>
      </c>
      <c r="X17" s="218" t="s">
        <v>1546</v>
      </c>
      <c r="Y17" s="186" t="e">
        <f t="shared" si="20"/>
        <v>#N/A</v>
      </c>
      <c r="Z17" s="186" t="e">
        <f t="shared" si="21"/>
        <v>#N/A</v>
      </c>
      <c r="AA17" s="186" t="e">
        <f t="shared" si="22"/>
        <v>#N/A</v>
      </c>
      <c r="AB17" s="186" t="e">
        <f t="shared" si="23"/>
        <v>#N/A</v>
      </c>
      <c r="AC17" s="186" t="e">
        <f t="shared" si="24"/>
        <v>#N/A</v>
      </c>
      <c r="AJ17" s="175" t="e">
        <f t="shared" si="35"/>
        <v>#N/A</v>
      </c>
      <c r="AK17" s="175" t="e">
        <f t="shared" si="36"/>
        <v>#N/A</v>
      </c>
      <c r="AL17" s="175" t="e">
        <f t="shared" si="37"/>
        <v>#N/A</v>
      </c>
      <c r="AM17" s="175" t="e">
        <f t="shared" si="38"/>
        <v>#N/A</v>
      </c>
      <c r="AN17" s="175" t="e">
        <f t="shared" si="26"/>
        <v>#N/A</v>
      </c>
    </row>
    <row r="18" spans="1:41" ht="15.75" customHeight="1">
      <c r="A18" s="186">
        <v>17</v>
      </c>
      <c r="B18" s="186"/>
      <c r="C18" s="186" t="s">
        <v>1659</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c r="S18" s="168" t="e">
        <f t="shared" si="15"/>
        <v>#N/A</v>
      </c>
      <c r="T18" s="186" t="e">
        <f t="shared" si="16"/>
        <v>#N/A</v>
      </c>
      <c r="U18" s="141" t="e">
        <f t="shared" si="17"/>
        <v>#N/A</v>
      </c>
      <c r="V18" s="186" t="e">
        <f t="shared" si="18"/>
        <v>#N/A</v>
      </c>
      <c r="W18" s="330" t="e">
        <f t="shared" si="19"/>
        <v>#N/A</v>
      </c>
      <c r="X18" s="218" t="s">
        <v>1546</v>
      </c>
      <c r="Y18" s="186" t="e">
        <f t="shared" si="20"/>
        <v>#N/A</v>
      </c>
      <c r="Z18" s="186" t="e">
        <f t="shared" si="21"/>
        <v>#N/A</v>
      </c>
      <c r="AA18" s="186" t="e">
        <f t="shared" si="22"/>
        <v>#N/A</v>
      </c>
      <c r="AB18" s="186" t="e">
        <f t="shared" si="23"/>
        <v>#N/A</v>
      </c>
      <c r="AC18" s="186" t="e">
        <f t="shared" si="24"/>
        <v>#N/A</v>
      </c>
      <c r="AJ18" s="175" t="e">
        <f t="shared" si="35"/>
        <v>#N/A</v>
      </c>
      <c r="AK18" s="175" t="e">
        <f t="shared" si="36"/>
        <v>#N/A</v>
      </c>
      <c r="AL18" s="175" t="e">
        <f t="shared" si="37"/>
        <v>#N/A</v>
      </c>
      <c r="AM18" s="175" t="e">
        <f t="shared" si="38"/>
        <v>#N/A</v>
      </c>
      <c r="AN18" s="175" t="e">
        <f t="shared" si="26"/>
        <v>#N/A</v>
      </c>
    </row>
    <row r="19" spans="1:41" s="141" customFormat="1">
      <c r="A19" s="186">
        <v>18</v>
      </c>
      <c r="B19" s="186"/>
      <c r="C19" s="186" t="s">
        <v>1660</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c r="S19" s="168" t="e">
        <f t="shared" si="15"/>
        <v>#N/A</v>
      </c>
      <c r="T19" s="186" t="e">
        <f t="shared" si="16"/>
        <v>#N/A</v>
      </c>
      <c r="U19" s="141" t="e">
        <f t="shared" si="17"/>
        <v>#N/A</v>
      </c>
      <c r="V19" s="186" t="e">
        <f t="shared" si="18"/>
        <v>#N/A</v>
      </c>
      <c r="W19" s="330" t="e">
        <f t="shared" si="19"/>
        <v>#N/A</v>
      </c>
      <c r="X19" s="218" t="s">
        <v>1546</v>
      </c>
      <c r="Y19" s="186" t="e">
        <f t="shared" si="20"/>
        <v>#N/A</v>
      </c>
      <c r="Z19" s="186" t="e">
        <f t="shared" si="21"/>
        <v>#N/A</v>
      </c>
      <c r="AA19" s="186" t="e">
        <f t="shared" si="22"/>
        <v>#N/A</v>
      </c>
      <c r="AB19" s="186" t="e">
        <f t="shared" si="23"/>
        <v>#N/A</v>
      </c>
      <c r="AC19" s="186" t="e">
        <f t="shared" si="24"/>
        <v>#N/A</v>
      </c>
      <c r="AD19" s="173"/>
      <c r="AJ19" s="175" t="e">
        <f t="shared" si="35"/>
        <v>#N/A</v>
      </c>
      <c r="AK19" s="175" t="e">
        <f t="shared" si="36"/>
        <v>#N/A</v>
      </c>
      <c r="AL19" s="175" t="e">
        <f t="shared" si="37"/>
        <v>#N/A</v>
      </c>
      <c r="AM19" s="175" t="e">
        <f t="shared" si="38"/>
        <v>#N/A</v>
      </c>
      <c r="AN19" s="175" t="e">
        <f t="shared" si="26"/>
        <v>#N/A</v>
      </c>
      <c r="AO19" s="173"/>
    </row>
    <row r="20" spans="1:41" s="141" customFormat="1">
      <c r="A20" s="186">
        <v>19</v>
      </c>
      <c r="B20" s="186"/>
      <c r="C20" s="186" t="s">
        <v>1661</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c r="S20" s="168" t="e">
        <f t="shared" si="15"/>
        <v>#N/A</v>
      </c>
      <c r="T20" s="186" t="e">
        <f t="shared" si="16"/>
        <v>#N/A</v>
      </c>
      <c r="U20" s="141" t="e">
        <f t="shared" si="17"/>
        <v>#N/A</v>
      </c>
      <c r="V20" s="186" t="e">
        <f t="shared" si="18"/>
        <v>#N/A</v>
      </c>
      <c r="W20" s="330" t="e">
        <f t="shared" si="19"/>
        <v>#N/A</v>
      </c>
      <c r="X20" s="218" t="s">
        <v>1546</v>
      </c>
      <c r="Y20" s="186" t="e">
        <f t="shared" si="20"/>
        <v>#N/A</v>
      </c>
      <c r="Z20" s="186" t="e">
        <f t="shared" si="21"/>
        <v>#N/A</v>
      </c>
      <c r="AA20" s="186" t="e">
        <f t="shared" si="22"/>
        <v>#N/A</v>
      </c>
      <c r="AB20" s="186" t="e">
        <f t="shared" si="23"/>
        <v>#N/A</v>
      </c>
      <c r="AC20" s="186" t="e">
        <f t="shared" si="24"/>
        <v>#N/A</v>
      </c>
      <c r="AD20" s="173"/>
      <c r="AJ20" s="175" t="e">
        <f t="shared" si="35"/>
        <v>#N/A</v>
      </c>
      <c r="AK20" s="175" t="e">
        <f t="shared" si="36"/>
        <v>#N/A</v>
      </c>
      <c r="AL20" s="175" t="e">
        <f t="shared" si="37"/>
        <v>#N/A</v>
      </c>
      <c r="AM20" s="175" t="e">
        <f t="shared" si="38"/>
        <v>#N/A</v>
      </c>
      <c r="AN20" s="175" t="e">
        <f t="shared" si="26"/>
        <v>#N/A</v>
      </c>
      <c r="AO20" s="173"/>
    </row>
    <row r="21" spans="1:41" s="141" customFormat="1">
      <c r="C21" s="139"/>
      <c r="D21" s="140"/>
      <c r="G21" s="154"/>
      <c r="I21" s="139"/>
      <c r="J21" s="139"/>
      <c r="K21" s="142"/>
      <c r="N21" s="139"/>
      <c r="O21" s="139"/>
      <c r="P21" s="142"/>
      <c r="S21" s="169"/>
      <c r="AD21" s="173"/>
      <c r="AO21" s="173"/>
    </row>
    <row r="22" spans="1:41" s="141" customFormat="1">
      <c r="C22" s="139"/>
      <c r="D22" s="140"/>
      <c r="G22" s="154"/>
      <c r="I22" s="139"/>
      <c r="J22" s="139"/>
      <c r="K22" s="142"/>
      <c r="N22" s="139"/>
      <c r="O22" s="139"/>
      <c r="P22" s="142"/>
      <c r="S22" s="169"/>
      <c r="AD22" s="173"/>
      <c r="AO22" s="173"/>
    </row>
    <row r="23" spans="1:41" s="141" customFormat="1">
      <c r="C23" s="139"/>
      <c r="D23" s="140"/>
      <c r="G23" s="154"/>
      <c r="I23" s="139"/>
      <c r="J23" s="139"/>
      <c r="K23" s="142"/>
      <c r="N23" s="139"/>
      <c r="O23" s="139"/>
      <c r="P23" s="142"/>
      <c r="S23" s="169"/>
      <c r="AD23" s="173"/>
      <c r="AO23" s="173"/>
    </row>
    <row r="24" spans="1:41" s="141" customFormat="1">
      <c r="C24" s="139"/>
      <c r="D24" s="140"/>
      <c r="G24" s="154"/>
      <c r="I24" s="139"/>
      <c r="J24" s="139"/>
      <c r="K24" s="142"/>
      <c r="N24" s="139"/>
      <c r="O24" s="139"/>
      <c r="P24" s="142"/>
      <c r="S24" s="169"/>
      <c r="AD24" s="173"/>
      <c r="AO24" s="173"/>
    </row>
    <row r="25" spans="1:41" s="141" customFormat="1">
      <c r="C25" s="139"/>
      <c r="D25" s="140"/>
      <c r="G25" s="154"/>
      <c r="I25" s="139"/>
      <c r="J25" s="139"/>
      <c r="K25" s="142"/>
      <c r="N25" s="139"/>
      <c r="O25" s="139"/>
      <c r="P25" s="142"/>
      <c r="S25" s="169"/>
      <c r="AD25" s="173"/>
      <c r="AO25" s="173"/>
    </row>
    <row r="26" spans="1:41">
      <c r="G26" s="154"/>
      <c r="K26" s="142"/>
      <c r="P26" s="142"/>
    </row>
    <row r="27" spans="1:41">
      <c r="G27" s="154"/>
      <c r="K27" s="142"/>
      <c r="P27" s="142"/>
    </row>
    <row r="28" spans="1:41">
      <c r="G28" s="154"/>
      <c r="K28" s="142"/>
      <c r="P28" s="142"/>
    </row>
    <row r="29" spans="1:41">
      <c r="G29" s="154"/>
      <c r="K29" s="142"/>
      <c r="P29" s="142"/>
    </row>
    <row r="30" spans="1:41">
      <c r="G30" s="154"/>
      <c r="K30" s="142"/>
      <c r="P30" s="142"/>
    </row>
    <row r="31" spans="1:41">
      <c r="G31" s="154"/>
      <c r="K31" s="142"/>
      <c r="P31" s="142"/>
    </row>
    <row r="32" spans="1:41">
      <c r="G32" s="154"/>
      <c r="K32" s="142"/>
      <c r="P32" s="142"/>
    </row>
    <row r="33" spans="5:16">
      <c r="K33" s="142"/>
      <c r="P33" s="142"/>
    </row>
    <row r="34" spans="5:16">
      <c r="K34" s="142"/>
      <c r="P34" s="142"/>
    </row>
    <row r="35" spans="5:16">
      <c r="K35" s="142"/>
      <c r="P35" s="142"/>
    </row>
    <row r="36" spans="5:16">
      <c r="E36" s="139"/>
      <c r="G36" s="139"/>
      <c r="H36" s="139"/>
      <c r="J36" s="141"/>
      <c r="K36" s="142"/>
      <c r="M36" s="141"/>
      <c r="O36" s="141"/>
      <c r="P36" s="142"/>
    </row>
    <row r="37" spans="5:16">
      <c r="K37" s="142"/>
      <c r="P37" s="142"/>
    </row>
    <row r="38" spans="5:16">
      <c r="K38" s="142"/>
      <c r="P38" s="142"/>
    </row>
    <row r="39" spans="5:16">
      <c r="K39" s="142"/>
      <c r="P39" s="142"/>
    </row>
    <row r="40" spans="5:16">
      <c r="K40" s="142"/>
      <c r="P40" s="142"/>
    </row>
    <row r="41" spans="5:16">
      <c r="K41" s="142"/>
      <c r="P41" s="142"/>
    </row>
    <row r="42" spans="5:16">
      <c r="K42" s="142"/>
      <c r="P42" s="142"/>
    </row>
    <row r="43" spans="5:16">
      <c r="K43" s="142"/>
      <c r="P43" s="142"/>
    </row>
    <row r="44" spans="5:16">
      <c r="K44" s="142"/>
      <c r="P44" s="142"/>
    </row>
    <row r="45" spans="5:16">
      <c r="K45" s="142"/>
      <c r="P45" s="142"/>
    </row>
    <row r="46" spans="5:16">
      <c r="K46" s="142"/>
      <c r="P46" s="142"/>
    </row>
    <row r="47" spans="5:16">
      <c r="K47" s="142"/>
      <c r="P47" s="142"/>
    </row>
    <row r="48" spans="5: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K865" s="142"/>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E873" s="139"/>
      <c r="G873" s="139"/>
      <c r="H873" s="139"/>
      <c r="J873" s="141"/>
      <c r="K873" s="142"/>
      <c r="M873" s="141"/>
      <c r="O873" s="141"/>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42"/>
      <c r="P1268" s="142"/>
    </row>
    <row r="1269" spans="11:16">
      <c r="K1269" s="142"/>
      <c r="P1269" s="142"/>
    </row>
    <row r="1270" spans="11:16">
      <c r="K1270" s="142"/>
      <c r="P1270" s="142"/>
    </row>
    <row r="1271" spans="11:16">
      <c r="K1271" s="142"/>
      <c r="P1271" s="142"/>
    </row>
    <row r="1272" spans="11:16">
      <c r="K1272" s="142"/>
      <c r="P1272" s="142"/>
    </row>
    <row r="1273" spans="11:16">
      <c r="K1273" s="142"/>
      <c r="P1273" s="142"/>
    </row>
    <row r="1274" spans="11:16">
      <c r="K1274" s="142"/>
      <c r="P1274" s="142"/>
    </row>
    <row r="1275" spans="11:16">
      <c r="K1275" s="142"/>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c r="P1548" s="142"/>
    </row>
    <row r="1549" spans="11:16">
      <c r="K1549" s="155"/>
      <c r="P1549" s="142"/>
    </row>
    <row r="1550" spans="11:16">
      <c r="K1550" s="155"/>
      <c r="P1550" s="142"/>
    </row>
    <row r="1551" spans="11:16">
      <c r="K1551" s="155"/>
      <c r="P1551" s="142"/>
    </row>
    <row r="1552" spans="11:16">
      <c r="K1552" s="155"/>
      <c r="P1552" s="142"/>
    </row>
    <row r="1553" spans="11:16">
      <c r="K1553" s="155"/>
      <c r="P1553" s="142"/>
    </row>
    <row r="1554" spans="11:16">
      <c r="K1554" s="155"/>
      <c r="P1554" s="142"/>
    </row>
    <row r="1555" spans="11:16">
      <c r="K1555" s="155"/>
      <c r="P1555" s="142"/>
    </row>
    <row r="1556" spans="11:16">
      <c r="K1556" s="155"/>
    </row>
    <row r="1557" spans="11:16">
      <c r="K1557" s="155"/>
    </row>
    <row r="1558" spans="11:16">
      <c r="K1558" s="155"/>
    </row>
    <row r="1559" spans="11:16">
      <c r="K1559"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R1551"/>
  <sheetViews>
    <sheetView zoomScale="85" zoomScaleNormal="85" workbookViewId="0">
      <selection activeCell="AN16" sqref="AN16"/>
    </sheetView>
  </sheetViews>
  <sheetFormatPr defaultRowHeight="15.75"/>
  <cols>
    <col min="1" max="1" width="5.5" style="139" customWidth="1"/>
    <col min="2" max="2" width="11" style="139" hidden="1" customWidth="1"/>
    <col min="3" max="3" width="10.125" style="139" bestFit="1" customWidth="1"/>
    <col min="4" max="4" width="62.75" style="141" customWidth="1"/>
    <col min="5" max="5" width="24.875" style="14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6384" width="9" style="139"/>
  </cols>
  <sheetData>
    <row r="1" spans="1:18"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8" ht="16.5" thickTop="1">
      <c r="A2" s="139">
        <v>1</v>
      </c>
      <c r="C2" s="139" t="s">
        <v>1535</v>
      </c>
      <c r="D2" s="140" t="e">
        <f t="shared" ref="D2:D20" si="0">VLOOKUP($C2,TUANBV,2,0)</f>
        <v>#N/A</v>
      </c>
      <c r="E2" s="141" t="e">
        <f t="shared" ref="E2:E20" si="1">VLOOKUP($C2,TUANBV,3,0)</f>
        <v>#N/A</v>
      </c>
      <c r="F2" s="141" t="e">
        <f t="shared" ref="F2:F20" si="2">VLOOKUP($C2,TUANBV,4,0)</f>
        <v>#N/A</v>
      </c>
      <c r="G2" s="141" t="e">
        <f t="shared" ref="G2:G20" si="3">VLOOKUP($C2,TUANBV,5,0)</f>
        <v>#N/A</v>
      </c>
      <c r="H2" s="141" t="e">
        <f t="shared" ref="H2:H20" si="4">VLOOKUP($C2,TUANBV,6,0)</f>
        <v>#N/A</v>
      </c>
      <c r="I2" s="141" t="e">
        <f t="shared" ref="I2:I20" si="5">VLOOKUP($C2,TUANBV,7,0)</f>
        <v>#N/A</v>
      </c>
      <c r="J2" s="141" t="e">
        <f t="shared" ref="J2:J20" si="6">VLOOKUP($C2,TUANBV,8,0)</f>
        <v>#N/A</v>
      </c>
      <c r="K2" s="142" t="e">
        <f t="shared" ref="K2:K20" si="7">VLOOKUP($C2,TUANBV,9,0)</f>
        <v>#N/A</v>
      </c>
      <c r="L2" s="141" t="e">
        <f t="shared" ref="L2:L20" si="8">VLOOKUP($C2,TUANBV,10,0)</f>
        <v>#N/A</v>
      </c>
      <c r="M2" s="141" t="e">
        <f t="shared" ref="M2:M20" si="9">VLOOKUP($C2,TUANBV,11,0)</f>
        <v>#N/A</v>
      </c>
      <c r="N2" s="141" t="e">
        <f t="shared" ref="N2:N20" si="10">VLOOKUP($C2,TUANBV,12,0)</f>
        <v>#N/A</v>
      </c>
      <c r="O2" s="141" t="e">
        <f t="shared" ref="O2:O20" si="11">VLOOKUP($C2,TUANBV,13,0)</f>
        <v>#N/A</v>
      </c>
      <c r="P2" s="142" t="e">
        <f t="shared" ref="P2:P20" si="12">VLOOKUP($C2,TUANBV,14,0)</f>
        <v>#N/A</v>
      </c>
      <c r="Q2" s="141" t="e">
        <f t="shared" ref="Q2:Q20" si="13">VLOOKUP($C2,TUANBV,15,0)</f>
        <v>#N/A</v>
      </c>
      <c r="R2" s="141" t="e">
        <f t="shared" ref="R2:R20" si="14">VLOOKUP($C2,TUANBV,16,0)</f>
        <v>#N/A</v>
      </c>
    </row>
    <row r="3" spans="1:18">
      <c r="A3" s="139">
        <v>2</v>
      </c>
      <c r="C3" s="186" t="s">
        <v>1496</v>
      </c>
      <c r="D3" s="140" t="str">
        <f t="shared" si="0"/>
        <v>Nghiệm thu cốt thép giằng móng</v>
      </c>
      <c r="E3" s="141" t="str">
        <f t="shared" si="1"/>
        <v>Nhà tiểu học 3 phòng</v>
      </c>
      <c r="F3" s="141" t="str">
        <f t="shared" si="2"/>
        <v>Điểm TĐC Pom Chốn</v>
      </c>
      <c r="G3" s="141" t="str">
        <f t="shared" si="3"/>
        <v>4/CTTH3PC</v>
      </c>
      <c r="H3" s="141" t="str">
        <f t="shared" si="4"/>
        <v>4/CTTH3PC</v>
      </c>
      <c r="I3" s="141" t="str">
        <f t="shared" si="5"/>
        <v>26</v>
      </c>
      <c r="J3" s="141" t="str">
        <f t="shared" si="6"/>
        <v>08</v>
      </c>
      <c r="K3" s="142">
        <f t="shared" si="7"/>
        <v>41877</v>
      </c>
      <c r="L3" s="141" t="str">
        <f t="shared" si="8"/>
        <v>09 giờ 00</v>
      </c>
      <c r="M3" s="141" t="str">
        <f t="shared" si="9"/>
        <v>10 giờ 00</v>
      </c>
      <c r="N3" s="141" t="str">
        <f t="shared" si="10"/>
        <v>27</v>
      </c>
      <c r="O3" s="141" t="str">
        <f t="shared" si="11"/>
        <v>08</v>
      </c>
      <c r="P3" s="142">
        <f t="shared" si="12"/>
        <v>41878</v>
      </c>
      <c r="Q3" s="141" t="str">
        <f t="shared" si="13"/>
        <v>Nguyễn Xuân Quỳnh</v>
      </c>
      <c r="R3" s="141" t="str">
        <f t="shared" si="14"/>
        <v>Lê Văn Thái</v>
      </c>
    </row>
    <row r="4" spans="1:18" ht="31.5">
      <c r="A4" s="139">
        <v>3</v>
      </c>
      <c r="C4" s="186" t="s">
        <v>1500</v>
      </c>
      <c r="D4" s="140" t="str">
        <f t="shared" si="0"/>
        <v>Nghiệm thu công tác lắp dựng cốt thép lanh tô cửa sổ và cửa đi</v>
      </c>
      <c r="E4" s="141" t="str">
        <f t="shared" si="1"/>
        <v>Nhà tiểu học 3 phòng</v>
      </c>
      <c r="F4" s="141" t="str">
        <f t="shared" si="2"/>
        <v>Điểm TĐC Pom Chốn</v>
      </c>
      <c r="G4" s="141" t="str">
        <f t="shared" si="3"/>
        <v>6/CTTH3PC</v>
      </c>
      <c r="H4" s="141" t="str">
        <f t="shared" si="4"/>
        <v>6/CTTH3PC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row>
    <row r="5" spans="1:18" ht="31.5">
      <c r="A5" s="186">
        <v>4</v>
      </c>
      <c r="C5" s="186" t="s">
        <v>1506</v>
      </c>
      <c r="D5" s="140" t="str">
        <f t="shared" si="0"/>
        <v>Nghiệm thu cốt thép dầm D1, D2, D3, D4, D4A, D4B, bê tông sàn, sê nô thu nước</v>
      </c>
      <c r="E5" s="141" t="str">
        <f t="shared" si="1"/>
        <v>Nhà tiểu học 3 phòng</v>
      </c>
      <c r="F5" s="141" t="str">
        <f t="shared" si="2"/>
        <v>Điểm TĐC Pom Chốn</v>
      </c>
      <c r="G5" s="141" t="str">
        <f t="shared" si="3"/>
        <v>8/CTTH3PC</v>
      </c>
      <c r="H5" s="141" t="str">
        <f t="shared" si="4"/>
        <v>8/CTTH3PC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row>
    <row r="6" spans="1:18" ht="31.5">
      <c r="A6" s="186">
        <v>5</v>
      </c>
      <c r="C6" s="186" t="s">
        <v>1511</v>
      </c>
      <c r="D6" s="140" t="str">
        <f t="shared" si="0"/>
        <v>Nghiệm thu cốt thép giằng tường thu hồi</v>
      </c>
      <c r="E6" s="141" t="str">
        <f t="shared" si="1"/>
        <v>Nhà tiểu học 3 phòng</v>
      </c>
      <c r="F6" s="141" t="str">
        <f t="shared" si="2"/>
        <v>Điểm TĐC Pom Chốn</v>
      </c>
      <c r="G6" s="141" t="str">
        <f t="shared" si="3"/>
        <v>10/CTTH3PC</v>
      </c>
      <c r="H6" s="141" t="str">
        <f t="shared" si="4"/>
        <v>10/CTTH3PC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row>
    <row r="7" spans="1:18" ht="31.5">
      <c r="A7" s="186">
        <v>6</v>
      </c>
      <c r="C7" s="186" t="s">
        <v>1515</v>
      </c>
      <c r="D7" s="140" t="str">
        <f t="shared" si="0"/>
        <v>Nghiệm thu cốt thép Lam trang trí</v>
      </c>
      <c r="E7" s="141" t="str">
        <f t="shared" si="1"/>
        <v>Nhà tiểu học 3 phòng</v>
      </c>
      <c r="F7" s="141" t="str">
        <f t="shared" si="2"/>
        <v>Điểm TĐC Pom Chốn</v>
      </c>
      <c r="G7" s="141" t="str">
        <f t="shared" si="3"/>
        <v>11/CTTH3PC</v>
      </c>
      <c r="H7" s="141" t="str">
        <f t="shared" si="4"/>
        <v>11/CTTH3PC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row>
    <row r="8" spans="1:18">
      <c r="A8" s="186">
        <v>7</v>
      </c>
      <c r="C8" s="186" t="s">
        <v>1521</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row>
    <row r="9" spans="1:18">
      <c r="A9" s="186">
        <v>8</v>
      </c>
      <c r="C9" s="186" t="s">
        <v>1530</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row>
    <row r="10" spans="1:18">
      <c r="A10" s="186">
        <v>9</v>
      </c>
      <c r="B10" s="186"/>
      <c r="C10" s="186" t="s">
        <v>1662</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row>
    <row r="11" spans="1:18" s="141" customFormat="1">
      <c r="A11" s="186">
        <v>10</v>
      </c>
      <c r="B11" s="186"/>
      <c r="C11" s="186" t="s">
        <v>1663</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row>
    <row r="12" spans="1:18" s="141" customFormat="1">
      <c r="A12" s="186">
        <v>11</v>
      </c>
      <c r="B12" s="186"/>
      <c r="C12" s="186" t="s">
        <v>1664</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row>
    <row r="13" spans="1:18" s="141" customFormat="1">
      <c r="A13" s="186">
        <v>12</v>
      </c>
      <c r="B13" s="186"/>
      <c r="C13" s="186" t="s">
        <v>1665</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row>
    <row r="14" spans="1:18" s="141" customFormat="1">
      <c r="A14" s="186">
        <v>13</v>
      </c>
      <c r="B14" s="186"/>
      <c r="C14" s="186" t="s">
        <v>1666</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row>
    <row r="15" spans="1:18" s="141" customFormat="1">
      <c r="A15" s="186">
        <v>14</v>
      </c>
      <c r="B15" s="186"/>
      <c r="C15" s="186" t="s">
        <v>1667</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row>
    <row r="16" spans="1:18" s="141" customFormat="1">
      <c r="A16" s="186">
        <v>15</v>
      </c>
      <c r="B16" s="186"/>
      <c r="C16" s="186" t="s">
        <v>1668</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row>
    <row r="17" spans="1:18" s="141" customFormat="1">
      <c r="A17" s="186">
        <v>16</v>
      </c>
      <c r="B17" s="186"/>
      <c r="C17" s="186" t="s">
        <v>1669</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row>
    <row r="18" spans="1:18">
      <c r="A18" s="186">
        <v>17</v>
      </c>
      <c r="B18" s="186"/>
      <c r="C18" s="186" t="s">
        <v>1670</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row>
    <row r="19" spans="1:18">
      <c r="A19" s="186">
        <v>18</v>
      </c>
      <c r="B19" s="186"/>
      <c r="C19" s="186" t="s">
        <v>1671</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row>
    <row r="20" spans="1:18">
      <c r="A20" s="186">
        <v>19</v>
      </c>
      <c r="B20" s="186"/>
      <c r="C20" s="186" t="s">
        <v>1672</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row>
    <row r="21" spans="1:18">
      <c r="G21" s="154"/>
      <c r="K21" s="142"/>
      <c r="P21" s="142"/>
    </row>
    <row r="22" spans="1:18">
      <c r="G22" s="154"/>
      <c r="K22" s="142"/>
      <c r="P22" s="142"/>
    </row>
    <row r="23" spans="1:18">
      <c r="G23" s="154"/>
      <c r="K23" s="142"/>
      <c r="P23" s="142"/>
    </row>
    <row r="24" spans="1:18">
      <c r="G24" s="154"/>
      <c r="K24" s="142"/>
      <c r="P24" s="142"/>
    </row>
    <row r="25" spans="1:18">
      <c r="K25" s="142"/>
      <c r="P25" s="142"/>
    </row>
    <row r="26" spans="1:18">
      <c r="K26" s="142"/>
      <c r="P26" s="142"/>
    </row>
    <row r="27" spans="1:18">
      <c r="K27" s="142"/>
      <c r="P27" s="142"/>
    </row>
    <row r="28" spans="1:18">
      <c r="E28" s="139"/>
      <c r="G28" s="139"/>
      <c r="H28" s="139"/>
      <c r="J28" s="141"/>
      <c r="K28" s="142"/>
      <c r="M28" s="141"/>
      <c r="O28" s="141"/>
      <c r="P28" s="142"/>
    </row>
    <row r="29" spans="1:18">
      <c r="K29" s="142"/>
      <c r="P29" s="142"/>
    </row>
    <row r="30" spans="1:18">
      <c r="K30" s="142"/>
      <c r="P30" s="142"/>
    </row>
    <row r="31" spans="1:18">
      <c r="K31" s="142"/>
      <c r="P31" s="142"/>
    </row>
    <row r="32" spans="1:18">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R1551"/>
  <sheetViews>
    <sheetView zoomScale="85" zoomScaleNormal="85" workbookViewId="0">
      <selection activeCell="AN16" sqref="AN16"/>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4.875" style="14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6384" width="9" style="139"/>
  </cols>
  <sheetData>
    <row r="1" spans="1:18"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8" ht="16.5" thickTop="1">
      <c r="A2" s="139">
        <v>1</v>
      </c>
      <c r="C2" s="139" t="s">
        <v>1492</v>
      </c>
      <c r="D2" s="140" t="str">
        <f t="shared" ref="D2:D20" si="0">VLOOKUP($C2,TUANBV,2,0)</f>
        <v>Nghiệm thu công tác lắp dựng ván khuôn bê tông lót móng</v>
      </c>
      <c r="E2" s="141" t="str">
        <f t="shared" ref="E2:E20" si="1">VLOOKUP($C2,TUANBV,3,0)</f>
        <v>Nhà tiểu học 3 phòng</v>
      </c>
      <c r="F2" s="141" t="str">
        <f t="shared" ref="F2:F20" si="2">VLOOKUP($C2,TUANBV,4,0)</f>
        <v>Điểm TĐC Pom Chốn</v>
      </c>
      <c r="G2" s="141" t="str">
        <f t="shared" ref="G2:G20" si="3">VLOOKUP($C2,TUANBV,5,0)</f>
        <v>2/VKTH3PC</v>
      </c>
      <c r="H2" s="141" t="str">
        <f t="shared" ref="H2:H20" si="4">VLOOKUP($C2,TUANBV,6,0)</f>
        <v>2/VKTH3PC</v>
      </c>
      <c r="I2" s="141" t="str">
        <f t="shared" ref="I2:I20" si="5">VLOOKUP($C2,TUANBV,7,0)</f>
        <v>18</v>
      </c>
      <c r="J2" s="141" t="str">
        <f t="shared" ref="J2:J20" si="6">VLOOKUP($C2,TUANBV,8,0)</f>
        <v>08</v>
      </c>
      <c r="K2" s="142">
        <f t="shared" ref="K2:K20" si="7">VLOOKUP($C2,TUANBV,9,0)</f>
        <v>41869</v>
      </c>
      <c r="L2" s="141" t="str">
        <f t="shared" ref="L2:L20" si="8">VLOOKUP($C2,TUANBV,10,0)</f>
        <v>09 giờ 00</v>
      </c>
      <c r="M2" s="141" t="str">
        <f t="shared" ref="M2:M20" si="9">VLOOKUP($C2,TUANBV,11,0)</f>
        <v>10 giờ 00</v>
      </c>
      <c r="N2" s="141" t="str">
        <f t="shared" ref="N2:N20" si="10">VLOOKUP($C2,TUANBV,12,0)</f>
        <v>19</v>
      </c>
      <c r="O2" s="141" t="str">
        <f t="shared" ref="O2:O20" si="11">VLOOKUP($C2,TUANBV,13,0)</f>
        <v>08</v>
      </c>
      <c r="P2" s="142">
        <f t="shared" ref="P2:P20" si="12">VLOOKUP($C2,TUANBV,14,0)</f>
        <v>41870</v>
      </c>
      <c r="Q2" s="141" t="str">
        <f t="shared" ref="Q2:Q20" si="13">VLOOKUP($C2,TUANBV,15,0)</f>
        <v>Nguyễn Xuân Quỳnh</v>
      </c>
      <c r="R2" s="141" t="str">
        <f t="shared" ref="R2:R20" si="14">VLOOKUP($C2,TUANBV,16,0)</f>
        <v>Lê Văn Thái</v>
      </c>
    </row>
    <row r="3" spans="1:18">
      <c r="A3" s="139">
        <v>2</v>
      </c>
      <c r="C3" s="186" t="s">
        <v>1536</v>
      </c>
      <c r="D3" s="140" t="str">
        <f t="shared" si="0"/>
        <v>Nghiệm thu ván khuôn bê tông giằng móng</v>
      </c>
      <c r="E3" s="141" t="str">
        <f t="shared" si="1"/>
        <v>Nhà tiểu học 3 phòng</v>
      </c>
      <c r="F3" s="141" t="str">
        <f t="shared" si="2"/>
        <v>Điểm TĐC Pom Chốn</v>
      </c>
      <c r="G3" s="141" t="str">
        <f t="shared" si="3"/>
        <v>4/VKTH3PC</v>
      </c>
      <c r="H3" s="141" t="str">
        <f t="shared" si="4"/>
        <v>4/VKTH3PC</v>
      </c>
      <c r="I3" s="141" t="str">
        <f t="shared" si="5"/>
        <v>26</v>
      </c>
      <c r="J3" s="141" t="str">
        <f t="shared" si="6"/>
        <v>08</v>
      </c>
      <c r="K3" s="142">
        <f t="shared" si="7"/>
        <v>41877</v>
      </c>
      <c r="L3" s="141" t="str">
        <f t="shared" si="8"/>
        <v>08 giờ 00</v>
      </c>
      <c r="M3" s="141" t="str">
        <f t="shared" si="9"/>
        <v>09 giờ 00</v>
      </c>
      <c r="N3" s="141" t="str">
        <f t="shared" si="10"/>
        <v>27</v>
      </c>
      <c r="O3" s="141" t="str">
        <f t="shared" si="11"/>
        <v>08</v>
      </c>
      <c r="P3" s="142">
        <f t="shared" si="12"/>
        <v>41878</v>
      </c>
      <c r="Q3" s="141" t="str">
        <f t="shared" si="13"/>
        <v>Nguyễn Xuân Quỳnh</v>
      </c>
      <c r="R3" s="141" t="str">
        <f t="shared" si="14"/>
        <v>Lê Văn Thái</v>
      </c>
    </row>
    <row r="4" spans="1:18" ht="31.5">
      <c r="A4" s="139">
        <v>3</v>
      </c>
      <c r="C4" s="186" t="s">
        <v>1501</v>
      </c>
      <c r="D4" s="140" t="str">
        <f t="shared" si="0"/>
        <v>Nghiệm thu công tác lắp dựng ván khuôn lanh tô cửa sổ và cửa đi</v>
      </c>
      <c r="E4" s="141" t="str">
        <f t="shared" si="1"/>
        <v>Nhà tiểu học 3 phòng</v>
      </c>
      <c r="F4" s="141" t="str">
        <f t="shared" si="2"/>
        <v>Điểm TĐC Pom Chốn</v>
      </c>
      <c r="G4" s="141" t="str">
        <f t="shared" si="3"/>
        <v>6/VKTH3PC</v>
      </c>
      <c r="H4" s="141" t="str">
        <f t="shared" si="4"/>
        <v>6/VKTH3PC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row>
    <row r="5" spans="1:18" ht="31.5">
      <c r="A5" s="186">
        <v>4</v>
      </c>
      <c r="C5" s="186" t="s">
        <v>1505</v>
      </c>
      <c r="D5" s="140" t="str">
        <f t="shared" si="0"/>
        <v>Nghiệm thu ván khuôn bê tông dầm D1, D2, D3, D4, D4A, D4B, bê tông sàn, sê nô thu nước</v>
      </c>
      <c r="E5" s="141" t="str">
        <f t="shared" si="1"/>
        <v>Nhà tiểu học 3 phòng</v>
      </c>
      <c r="F5" s="141" t="str">
        <f t="shared" si="2"/>
        <v>Điểm TĐC Pom Chốn</v>
      </c>
      <c r="G5" s="141" t="str">
        <f t="shared" si="3"/>
        <v>8/VKTH3PC</v>
      </c>
      <c r="H5" s="141" t="str">
        <f t="shared" si="4"/>
        <v>8/VKTH3PC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Nguyễn Xuân Quỳnh</v>
      </c>
      <c r="R5" s="141" t="str">
        <f t="shared" si="14"/>
        <v>Lê Văn Thái</v>
      </c>
    </row>
    <row r="6" spans="1:18" ht="31.5">
      <c r="A6" s="186">
        <v>5</v>
      </c>
      <c r="C6" s="186" t="s">
        <v>1510</v>
      </c>
      <c r="D6" s="140" t="str">
        <f t="shared" si="0"/>
        <v>Nghiệm thu ván khuôn bê tông giằng tường thu hồi</v>
      </c>
      <c r="E6" s="141" t="str">
        <f t="shared" si="1"/>
        <v>Nhà tiểu học 3 phòng</v>
      </c>
      <c r="F6" s="141" t="str">
        <f t="shared" si="2"/>
        <v>Điểm TĐC Pom Chốn</v>
      </c>
      <c r="G6" s="141" t="str">
        <f t="shared" si="3"/>
        <v>10/VKTH3PC</v>
      </c>
      <c r="H6" s="141" t="str">
        <f t="shared" si="4"/>
        <v>10/VKTH3PC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row>
    <row r="7" spans="1:18" ht="31.5">
      <c r="A7" s="186">
        <v>6</v>
      </c>
      <c r="C7" s="186" t="s">
        <v>1516</v>
      </c>
      <c r="D7" s="140" t="str">
        <f t="shared" si="0"/>
        <v>Nghiệm thu ván khuôn bê tông Lam trang trí</v>
      </c>
      <c r="E7" s="141" t="str">
        <f t="shared" si="1"/>
        <v>Nhà tiểu học 3 phòng</v>
      </c>
      <c r="F7" s="141" t="str">
        <f t="shared" si="2"/>
        <v>Điểm TĐC Pom Chốn</v>
      </c>
      <c r="G7" s="141" t="str">
        <f t="shared" si="3"/>
        <v>11/VKTH3PC</v>
      </c>
      <c r="H7" s="141" t="str">
        <f t="shared" si="4"/>
        <v>11/VKTH3PC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row>
    <row r="8" spans="1:18">
      <c r="A8" s="186">
        <v>7</v>
      </c>
      <c r="C8" s="186" t="s">
        <v>1520</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row>
    <row r="9" spans="1:18">
      <c r="A9" s="186">
        <v>8</v>
      </c>
      <c r="C9" s="186" t="s">
        <v>1531</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row>
    <row r="10" spans="1:18">
      <c r="A10" s="186">
        <v>9</v>
      </c>
      <c r="B10" s="186"/>
      <c r="C10" s="186" t="s">
        <v>1673</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row>
    <row r="11" spans="1:18" s="141" customFormat="1">
      <c r="A11" s="186">
        <v>10</v>
      </c>
      <c r="B11" s="186"/>
      <c r="C11" s="186" t="s">
        <v>1674</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row>
    <row r="12" spans="1:18" s="141" customFormat="1">
      <c r="A12" s="186">
        <v>11</v>
      </c>
      <c r="B12" s="186"/>
      <c r="C12" s="186" t="s">
        <v>1675</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row>
    <row r="13" spans="1:18" s="141" customFormat="1">
      <c r="A13" s="186">
        <v>12</v>
      </c>
      <c r="B13" s="186"/>
      <c r="C13" s="186" t="s">
        <v>1676</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row>
    <row r="14" spans="1:18" s="141" customFormat="1">
      <c r="A14" s="186">
        <v>13</v>
      </c>
      <c r="B14" s="186"/>
      <c r="C14" s="186" t="s">
        <v>1677</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row>
    <row r="15" spans="1:18" s="141" customFormat="1">
      <c r="A15" s="186">
        <v>14</v>
      </c>
      <c r="B15" s="186"/>
      <c r="C15" s="186" t="s">
        <v>1678</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row>
    <row r="16" spans="1:18" s="141" customFormat="1">
      <c r="A16" s="186">
        <v>15</v>
      </c>
      <c r="B16" s="186"/>
      <c r="C16" s="186" t="s">
        <v>1679</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row>
    <row r="17" spans="1:18" s="141" customFormat="1">
      <c r="A17" s="186">
        <v>16</v>
      </c>
      <c r="B17" s="186"/>
      <c r="C17" s="186" t="s">
        <v>1680</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row>
    <row r="18" spans="1:18">
      <c r="A18" s="186">
        <v>17</v>
      </c>
      <c r="B18" s="186"/>
      <c r="C18" s="186" t="s">
        <v>1681</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row>
    <row r="19" spans="1:18">
      <c r="A19" s="186">
        <v>18</v>
      </c>
      <c r="B19" s="186"/>
      <c r="C19" s="186" t="s">
        <v>1682</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row>
    <row r="20" spans="1:18">
      <c r="A20" s="186">
        <v>19</v>
      </c>
      <c r="B20" s="186"/>
      <c r="C20" s="186" t="s">
        <v>1683</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row>
    <row r="21" spans="1:18">
      <c r="G21" s="154"/>
      <c r="K21" s="142"/>
      <c r="P21" s="142"/>
    </row>
    <row r="22" spans="1:18">
      <c r="G22" s="154"/>
      <c r="K22" s="142"/>
      <c r="P22" s="142"/>
    </row>
    <row r="23" spans="1:18">
      <c r="G23" s="154"/>
      <c r="K23" s="142"/>
      <c r="P23" s="142"/>
    </row>
    <row r="24" spans="1:18">
      <c r="G24" s="154"/>
      <c r="K24" s="142"/>
      <c r="P24" s="142"/>
    </row>
    <row r="25" spans="1:18">
      <c r="K25" s="142"/>
      <c r="P25" s="142"/>
    </row>
    <row r="26" spans="1:18">
      <c r="K26" s="142"/>
      <c r="P26" s="142"/>
    </row>
    <row r="27" spans="1:18">
      <c r="K27" s="142"/>
      <c r="P27" s="142"/>
    </row>
    <row r="28" spans="1:18">
      <c r="E28" s="139"/>
      <c r="G28" s="139"/>
      <c r="H28" s="139"/>
      <c r="J28" s="141"/>
      <c r="K28" s="142"/>
      <c r="M28" s="141"/>
      <c r="O28" s="141"/>
      <c r="P28" s="142"/>
    </row>
    <row r="29" spans="1:18">
      <c r="K29" s="142"/>
      <c r="P29" s="142"/>
    </row>
    <row r="30" spans="1:18">
      <c r="K30" s="142"/>
      <c r="P30" s="142"/>
    </row>
    <row r="31" spans="1:18">
      <c r="K31" s="142"/>
      <c r="P31" s="142"/>
    </row>
    <row r="32" spans="1:18">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D1551"/>
  <sheetViews>
    <sheetView zoomScale="85" zoomScaleNormal="85" workbookViewId="0">
      <pane xSplit="4" topLeftCell="U1" activePane="topRight" state="frozen"/>
      <selection activeCell="AN16" sqref="AN16"/>
      <selection pane="topRight" activeCell="AN16" sqref="AN16"/>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7.125" style="141" bestFit="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9" width="0.875" style="172" customWidth="1"/>
    <col min="20" max="20" width="11.375" style="139" customWidth="1"/>
    <col min="21" max="21" width="18.25" style="139" customWidth="1"/>
    <col min="22" max="22" width="9" style="139"/>
    <col min="23" max="23" width="10.125" style="139" customWidth="1"/>
    <col min="24" max="24" width="0.875" style="172" customWidth="1"/>
    <col min="25" max="29" width="11.125" style="139" customWidth="1"/>
    <col min="30" max="30" width="0.875" style="172" customWidth="1"/>
    <col min="31" max="16384" width="9" style="139"/>
  </cols>
  <sheetData>
    <row r="1" spans="1:30"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c r="T1" s="162" t="s">
        <v>1094</v>
      </c>
      <c r="U1" s="162" t="s">
        <v>1095</v>
      </c>
      <c r="V1" s="162" t="s">
        <v>1087</v>
      </c>
      <c r="W1" s="162" t="s">
        <v>1088</v>
      </c>
      <c r="Y1" s="163" t="s">
        <v>1101</v>
      </c>
      <c r="Z1" s="163" t="s">
        <v>1102</v>
      </c>
      <c r="AA1" s="163" t="s">
        <v>1103</v>
      </c>
      <c r="AB1" s="163" t="s">
        <v>1104</v>
      </c>
      <c r="AC1" s="163" t="s">
        <v>1105</v>
      </c>
    </row>
    <row r="2" spans="1:30" ht="32.25" customHeight="1" thickTop="1">
      <c r="A2" s="139">
        <v>1</v>
      </c>
      <c r="C2" s="139" t="s">
        <v>1493</v>
      </c>
      <c r="D2" s="141" t="str">
        <f t="shared" ref="D2:D20" si="0">VLOOKUP($C2,TUANBV,2,0)</f>
        <v>Kiểm tra công tác chuẩn bị đổ bê tông lót móng</v>
      </c>
      <c r="E2" s="141" t="str">
        <f t="shared" ref="E2:E20" si="1">VLOOKUP($C2,TUANBV,3,0)</f>
        <v>Nhà tiểu học 3 phòng</v>
      </c>
      <c r="F2" s="141" t="str">
        <f t="shared" ref="F2:F20" si="2">VLOOKUP($C2,TUANBV,4,0)</f>
        <v>Điểm TĐC Pom Chốn</v>
      </c>
      <c r="G2" s="141" t="str">
        <f t="shared" ref="G2:G20" si="3">VLOOKUP($C2,TUANBV,5,0)</f>
        <v>2/CBTH3PC</v>
      </c>
      <c r="H2" s="141" t="str">
        <f t="shared" ref="H2:H20" si="4">VLOOKUP($C2,TUANBV,6,0)</f>
        <v>2/CBTH3PC</v>
      </c>
      <c r="I2" s="141" t="str">
        <f t="shared" ref="I2:I20" si="5">VLOOKUP($C2,TUANBV,7,0)</f>
        <v>18</v>
      </c>
      <c r="J2" s="141" t="str">
        <f t="shared" ref="J2:J20" si="6">VLOOKUP($C2,TUANBV,8,0)</f>
        <v>08</v>
      </c>
      <c r="K2" s="142">
        <f t="shared" ref="K2:K20" si="7">VLOOKUP($C2,TUANBV,9,0)</f>
        <v>41869</v>
      </c>
      <c r="L2" s="141" t="str">
        <f t="shared" ref="L2:L20" si="8">VLOOKUP($C2,TUANBV,10,0)</f>
        <v>10 giờ 00</v>
      </c>
      <c r="M2" s="141" t="str">
        <f t="shared" ref="M2:M20" si="9">VLOOKUP($C2,TUANBV,11,0)</f>
        <v>11 giờ 00</v>
      </c>
      <c r="N2" s="141" t="str">
        <f t="shared" ref="N2:N20" si="10">VLOOKUP($C2,TUANBV,12,0)</f>
        <v>19</v>
      </c>
      <c r="O2" s="141" t="str">
        <f t="shared" ref="O2:O20" si="11">VLOOKUP($C2,TUANBV,13,0)</f>
        <v>08</v>
      </c>
      <c r="P2" s="142">
        <f t="shared" ref="P2:P20" si="12">VLOOKUP($C2,TUANBV,14,0)</f>
        <v>41870</v>
      </c>
      <c r="Q2" s="141" t="str">
        <f t="shared" ref="Q2:Q20" si="13">VLOOKUP($C2,TUANBV,15,0)</f>
        <v>Nguyễn Xuân Quỳnh</v>
      </c>
      <c r="R2" s="141" t="str">
        <f t="shared" ref="R2:R20" si="14">VLOOKUP($C2,TUANBV,16,0)</f>
        <v>Lê Văn Thái</v>
      </c>
      <c r="T2" s="156" t="str">
        <f>"Mác "&amp;RIGHT('2.VL'!Y2,4)</f>
        <v>Mác 100#</v>
      </c>
      <c r="U2" s="139" t="str">
        <f>'2.VL'!S2</f>
        <v>The Vissai PCB30</v>
      </c>
      <c r="V2" s="139" t="s">
        <v>1106</v>
      </c>
      <c r="W2" s="139" t="str">
        <f>'2.VL'!U2</f>
        <v>Đá 4x6cm</v>
      </c>
      <c r="Y2" s="176">
        <f>'2.VL'!AJ2</f>
        <v>1613.81</v>
      </c>
      <c r="Z2" s="176">
        <f>'2.VL'!AK2</f>
        <v>4.33</v>
      </c>
      <c r="AA2" s="176">
        <f>'2.VL'!AL2</f>
        <v>7.75</v>
      </c>
      <c r="AB2" s="176">
        <f>'2.VL'!AM2</f>
        <v>1510.25</v>
      </c>
      <c r="AC2" s="176">
        <f>'2.VL'!AN2</f>
        <v>0</v>
      </c>
    </row>
    <row r="3" spans="1:30">
      <c r="A3" s="139">
        <v>2</v>
      </c>
      <c r="C3" s="186" t="s">
        <v>1497</v>
      </c>
      <c r="D3" s="141" t="str">
        <f t="shared" si="0"/>
        <v>Kiểm tra công tác chuẩn bị đổ bê tông giằng móng</v>
      </c>
      <c r="E3" s="141" t="str">
        <f t="shared" si="1"/>
        <v>Nhà tiểu học 3 phòng</v>
      </c>
      <c r="F3" s="141" t="str">
        <f t="shared" si="2"/>
        <v>Điểm TĐC Pom Chốn</v>
      </c>
      <c r="G3" s="141" t="str">
        <f t="shared" si="3"/>
        <v>4/CBTH3PC</v>
      </c>
      <c r="H3" s="141" t="str">
        <f t="shared" si="4"/>
        <v>4/CBTH3PC</v>
      </c>
      <c r="I3" s="141" t="str">
        <f t="shared" si="5"/>
        <v>26</v>
      </c>
      <c r="J3" s="141" t="str">
        <f t="shared" si="6"/>
        <v>08</v>
      </c>
      <c r="K3" s="142">
        <f t="shared" si="7"/>
        <v>41877</v>
      </c>
      <c r="L3" s="141" t="str">
        <f t="shared" si="8"/>
        <v>10 giờ 00</v>
      </c>
      <c r="M3" s="141" t="str">
        <f t="shared" si="9"/>
        <v>11 giờ 00</v>
      </c>
      <c r="N3" s="141" t="str">
        <f t="shared" si="10"/>
        <v>27</v>
      </c>
      <c r="O3" s="141" t="str">
        <f t="shared" si="11"/>
        <v>08</v>
      </c>
      <c r="P3" s="142">
        <f t="shared" si="12"/>
        <v>41878</v>
      </c>
      <c r="Q3" s="141" t="str">
        <f t="shared" si="13"/>
        <v>Nguyễn Xuân Quỳnh</v>
      </c>
      <c r="R3" s="141" t="str">
        <f t="shared" si="14"/>
        <v>Lê Văn Thái</v>
      </c>
      <c r="T3" s="156" t="str">
        <f>"Mác "&amp;RIGHT('2.VL'!Y3,4)</f>
        <v>Mác 200#</v>
      </c>
      <c r="U3" s="186" t="str">
        <f>'2.VL'!S3</f>
        <v>The Vissai PCB30</v>
      </c>
      <c r="V3" s="139" t="s">
        <v>1106</v>
      </c>
      <c r="W3" s="186" t="str">
        <f>'2.VL'!U3</f>
        <v>Đá 1x2cm</v>
      </c>
      <c r="Y3" s="176">
        <f>'2.VL'!AJ3</f>
        <v>699.05</v>
      </c>
      <c r="Z3" s="176">
        <f>'2.VL'!AK3</f>
        <v>0.92</v>
      </c>
      <c r="AA3" s="176">
        <f>'2.VL'!AL3</f>
        <v>1.78</v>
      </c>
      <c r="AB3" s="176">
        <f>'2.VL'!AM3</f>
        <v>399.75</v>
      </c>
      <c r="AC3" s="176">
        <f>'2.VL'!AN3</f>
        <v>197.32</v>
      </c>
    </row>
    <row r="4" spans="1:30" ht="31.5">
      <c r="A4" s="186">
        <v>3</v>
      </c>
      <c r="C4" s="186" t="s">
        <v>1502</v>
      </c>
      <c r="D4" s="141" t="str">
        <f t="shared" si="0"/>
        <v>Kiểm tra công tác chuẩn bị trước khi đổ bê tông lanh tô cửa sổ và cửa đi</v>
      </c>
      <c r="E4" s="141" t="str">
        <f t="shared" si="1"/>
        <v>Nhà tiểu học 3 phòng</v>
      </c>
      <c r="F4" s="141" t="str">
        <f t="shared" si="2"/>
        <v>Điểm TĐC Pom Chốn</v>
      </c>
      <c r="G4" s="141" t="str">
        <f t="shared" si="3"/>
        <v>6/CBTH3PC</v>
      </c>
      <c r="H4" s="141" t="str">
        <f t="shared" si="4"/>
        <v>6/CBTH3PC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c r="T4" s="156" t="str">
        <f>"Mác "&amp;RIGHT('2.VL'!Y4,4)</f>
        <v>Mác 200#</v>
      </c>
      <c r="U4" s="186" t="str">
        <f>'2.VL'!S4</f>
        <v>The Vissai PCB30</v>
      </c>
      <c r="V4" s="139" t="s">
        <v>1106</v>
      </c>
      <c r="W4" s="186" t="str">
        <f>'2.VL'!U4</f>
        <v>Đá 1x2cm</v>
      </c>
      <c r="Y4" s="176">
        <f>'2.VL'!AJ4</f>
        <v>265.98</v>
      </c>
      <c r="Z4" s="176">
        <f>'2.VL'!AK4</f>
        <v>0.35</v>
      </c>
      <c r="AA4" s="176">
        <f>'2.VL'!AL4</f>
        <v>0.68</v>
      </c>
      <c r="AB4" s="176">
        <f>'2.VL'!AM4</f>
        <v>152.1</v>
      </c>
      <c r="AC4" s="176">
        <f>'2.VL'!AN4</f>
        <v>60</v>
      </c>
    </row>
    <row r="5" spans="1:30" ht="31.5">
      <c r="A5" s="186">
        <v>4</v>
      </c>
      <c r="C5" s="186" t="s">
        <v>1507</v>
      </c>
      <c r="D5" s="141" t="str">
        <f t="shared" si="0"/>
        <v>Kiểm tra công tác chuẩn bị đổ bê tông dầm D1, D2, D3, D4, D4A, D4B, bê tông sàn, sê nô thu nước</v>
      </c>
      <c r="E5" s="141" t="str">
        <f t="shared" si="1"/>
        <v>Nhà tiểu học 3 phòng</v>
      </c>
      <c r="F5" s="141" t="str">
        <f t="shared" si="2"/>
        <v>Điểm TĐC Pom Chốn</v>
      </c>
      <c r="G5" s="141" t="str">
        <f t="shared" si="3"/>
        <v>8/CBTH3PC</v>
      </c>
      <c r="H5" s="141" t="str">
        <f t="shared" si="4"/>
        <v>8/CBTH3PC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c r="T5" s="156" t="str">
        <f>"Mác "&amp;RIGHT('2.VL'!Y5,4)</f>
        <v>Mác 200#</v>
      </c>
      <c r="U5" s="186" t="str">
        <f>'2.VL'!S5</f>
        <v>The Vissai PCB30</v>
      </c>
      <c r="V5" s="186" t="s">
        <v>1106</v>
      </c>
      <c r="W5" s="186" t="str">
        <f>'2.VL'!U5</f>
        <v>Đá 1x2cm</v>
      </c>
      <c r="Y5" s="176">
        <f>'2.VL'!AJ5</f>
        <v>8177.18</v>
      </c>
      <c r="Z5" s="176">
        <f>'2.VL'!AK5</f>
        <v>10.79</v>
      </c>
      <c r="AA5" s="176">
        <f>'2.VL'!AL5</f>
        <v>20.77</v>
      </c>
      <c r="AB5" s="176">
        <f>'2.VL'!AM5</f>
        <v>4676.1000000000004</v>
      </c>
      <c r="AC5" s="176">
        <f>'2.VL'!AN5</f>
        <v>2090</v>
      </c>
    </row>
    <row r="6" spans="1:30" ht="31.5">
      <c r="A6" s="186">
        <v>5</v>
      </c>
      <c r="C6" s="186" t="s">
        <v>1512</v>
      </c>
      <c r="D6" s="141" t="str">
        <f t="shared" si="0"/>
        <v>Kiểm tra công tác chuẩn bị đổ bê tông giằng tường thu hồi</v>
      </c>
      <c r="E6" s="141" t="str">
        <f t="shared" si="1"/>
        <v>Nhà tiểu học 3 phòng</v>
      </c>
      <c r="F6" s="141" t="str">
        <f t="shared" si="2"/>
        <v>Điểm TĐC Pom Chốn</v>
      </c>
      <c r="G6" s="141" t="str">
        <f t="shared" si="3"/>
        <v>10/CBTH3PC</v>
      </c>
      <c r="H6" s="141" t="str">
        <f t="shared" si="4"/>
        <v>10/CBTH3PC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c r="T6" s="156" t="str">
        <f>"Mác "&amp;RIGHT('2.VL'!Y6,4)</f>
        <v>Mác 200#</v>
      </c>
      <c r="U6" s="186" t="str">
        <f>'2.VL'!S6</f>
        <v>The Vissai PCB30</v>
      </c>
      <c r="V6" s="186" t="s">
        <v>1106</v>
      </c>
      <c r="W6" s="186" t="str">
        <f>'2.VL'!U6</f>
        <v>Đá 1x2cm</v>
      </c>
      <c r="Y6" s="176">
        <f>'2.VL'!AJ6</f>
        <v>378.51</v>
      </c>
      <c r="Z6" s="176">
        <f>'2.VL'!AK6</f>
        <v>0.5</v>
      </c>
      <c r="AA6" s="176">
        <f>'2.VL'!AL6</f>
        <v>0.96</v>
      </c>
      <c r="AB6" s="176">
        <f>'2.VL'!AM6</f>
        <v>216.45</v>
      </c>
      <c r="AC6" s="176">
        <f>'2.VL'!AN6</f>
        <v>80</v>
      </c>
    </row>
    <row r="7" spans="1:30" ht="31.5">
      <c r="A7" s="186">
        <v>6</v>
      </c>
      <c r="C7" s="186" t="s">
        <v>1517</v>
      </c>
      <c r="D7" s="141" t="str">
        <f t="shared" si="0"/>
        <v>Kiểm tra công tác chuẩn bị đổ bê tông Lam trang trí</v>
      </c>
      <c r="E7" s="141" t="str">
        <f t="shared" si="1"/>
        <v>Nhà tiểu học 3 phòng</v>
      </c>
      <c r="F7" s="141" t="str">
        <f t="shared" si="2"/>
        <v>Điểm TĐC Pom Chốn</v>
      </c>
      <c r="G7" s="141" t="str">
        <f t="shared" si="3"/>
        <v>11/CBTH3PC</v>
      </c>
      <c r="H7" s="141" t="str">
        <f t="shared" si="4"/>
        <v>11/CBTH3PC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c r="T7" s="156" t="str">
        <f>"Mác "&amp;RIGHT('2.VL'!Y7,4)</f>
        <v>Mác 200#</v>
      </c>
      <c r="U7" s="186" t="str">
        <f>'2.VL'!S7</f>
        <v>The Vissai PCB30</v>
      </c>
      <c r="V7" s="186" t="s">
        <v>1106</v>
      </c>
      <c r="W7" s="186" t="str">
        <f>'2.VL'!U7</f>
        <v>Đá 1x2cm</v>
      </c>
      <c r="Y7" s="176">
        <f>'2.VL'!AJ7</f>
        <v>231.88</v>
      </c>
      <c r="Z7" s="176">
        <f>'2.VL'!AK7</f>
        <v>0.31</v>
      </c>
      <c r="AA7" s="176">
        <f>'2.VL'!AL7</f>
        <v>0.59</v>
      </c>
      <c r="AB7" s="176">
        <f>'2.VL'!AM7</f>
        <v>132.6</v>
      </c>
      <c r="AC7" s="176">
        <f>'2.VL'!AN7</f>
        <v>120</v>
      </c>
    </row>
    <row r="8" spans="1:30">
      <c r="A8" s="186">
        <v>7</v>
      </c>
      <c r="C8" s="186" t="s">
        <v>1522</v>
      </c>
      <c r="D8" s="141"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c r="T8" s="156" t="str">
        <f>"Mác "&amp;RIGHT('2.VL'!Y8,4)</f>
        <v>Mác 0</v>
      </c>
      <c r="U8" s="186">
        <f>'2.VL'!S8</f>
        <v>0</v>
      </c>
      <c r="V8" s="186" t="s">
        <v>1106</v>
      </c>
      <c r="W8" s="186">
        <f>'2.VL'!U8</f>
        <v>0</v>
      </c>
      <c r="Y8" s="176" t="e">
        <f>'2.VL'!AJ8</f>
        <v>#N/A</v>
      </c>
      <c r="Z8" s="176" t="e">
        <f>'2.VL'!AK8</f>
        <v>#N/A</v>
      </c>
      <c r="AA8" s="176" t="e">
        <f>'2.VL'!AL8</f>
        <v>#N/A</v>
      </c>
      <c r="AB8" s="176" t="e">
        <f>'2.VL'!AM8</f>
        <v>#N/A</v>
      </c>
      <c r="AC8" s="176">
        <f>'2.VL'!AN8</f>
        <v>0</v>
      </c>
    </row>
    <row r="9" spans="1:30">
      <c r="A9" s="186">
        <v>8</v>
      </c>
      <c r="C9" s="186" t="s">
        <v>1532</v>
      </c>
      <c r="D9" s="141"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c r="T9" s="156" t="str">
        <f>"Mác "&amp;RIGHT('2.VL'!Y9,4)</f>
        <v>Mác 0</v>
      </c>
      <c r="U9" s="186">
        <f>'2.VL'!S9</f>
        <v>0</v>
      </c>
      <c r="V9" s="186" t="s">
        <v>1106</v>
      </c>
      <c r="W9" s="186">
        <f>'2.VL'!U9</f>
        <v>0</v>
      </c>
      <c r="Y9" s="176" t="e">
        <f>'2.VL'!AJ9</f>
        <v>#N/A</v>
      </c>
      <c r="Z9" s="176" t="e">
        <f>'2.VL'!AK9</f>
        <v>#N/A</v>
      </c>
      <c r="AA9" s="176" t="e">
        <f>'2.VL'!AL9</f>
        <v>#N/A</v>
      </c>
      <c r="AB9" s="176" t="e">
        <f>'2.VL'!AM9</f>
        <v>#N/A</v>
      </c>
      <c r="AC9" s="176">
        <f>'2.VL'!AN9</f>
        <v>0</v>
      </c>
    </row>
    <row r="10" spans="1:30">
      <c r="A10" s="186">
        <v>9</v>
      </c>
      <c r="B10" s="186"/>
      <c r="C10" s="186" t="s">
        <v>1684</v>
      </c>
      <c r="D10" s="141"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c r="T10" s="156" t="str">
        <f>"Mác "&amp;RIGHT('2.VL'!Y10,4)</f>
        <v>Mác 0</v>
      </c>
      <c r="U10" s="186">
        <f>'2.VL'!S10</f>
        <v>0</v>
      </c>
      <c r="V10" s="186" t="s">
        <v>1106</v>
      </c>
      <c r="W10" s="186">
        <f>'2.VL'!U10</f>
        <v>0</v>
      </c>
      <c r="Y10" s="176" t="e">
        <f>'2.VL'!AJ10</f>
        <v>#N/A</v>
      </c>
      <c r="Z10" s="176" t="e">
        <f>'2.VL'!AK10</f>
        <v>#N/A</v>
      </c>
      <c r="AA10" s="176" t="e">
        <f>'2.VL'!AL10</f>
        <v>#N/A</v>
      </c>
      <c r="AB10" s="176" t="e">
        <f>'2.VL'!AM10</f>
        <v>#N/A</v>
      </c>
      <c r="AC10" s="176">
        <f>'2.VL'!AN10</f>
        <v>0</v>
      </c>
    </row>
    <row r="11" spans="1:30" s="141" customFormat="1">
      <c r="A11" s="186">
        <v>10</v>
      </c>
      <c r="B11" s="186"/>
      <c r="C11" s="186" t="s">
        <v>1685</v>
      </c>
      <c r="D11" s="141"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72"/>
      <c r="T11" s="156" t="str">
        <f>"Mác "&amp;RIGHT('2.VL'!Y11,4)</f>
        <v>Mác 0</v>
      </c>
      <c r="U11" s="186">
        <f>'2.VL'!S11</f>
        <v>0</v>
      </c>
      <c r="V11" s="186" t="s">
        <v>1106</v>
      </c>
      <c r="W11" s="186">
        <f>'2.VL'!U11</f>
        <v>0</v>
      </c>
      <c r="X11" s="172"/>
      <c r="Y11" s="176" t="e">
        <f>'2.VL'!AJ11</f>
        <v>#N/A</v>
      </c>
      <c r="Z11" s="176" t="e">
        <f>'2.VL'!AK11</f>
        <v>#N/A</v>
      </c>
      <c r="AA11" s="176" t="e">
        <f>'2.VL'!AL11</f>
        <v>#N/A</v>
      </c>
      <c r="AB11" s="176" t="e">
        <f>'2.VL'!AM11</f>
        <v>#N/A</v>
      </c>
      <c r="AC11" s="176">
        <f>'2.VL'!AN11</f>
        <v>0</v>
      </c>
      <c r="AD11" s="173"/>
    </row>
    <row r="12" spans="1:30" s="141" customFormat="1">
      <c r="A12" s="186">
        <v>11</v>
      </c>
      <c r="B12" s="186"/>
      <c r="C12" s="186" t="s">
        <v>1686</v>
      </c>
      <c r="D12" s="141"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c r="S12" s="172"/>
      <c r="T12" s="156" t="str">
        <f>"Mác "&amp;RIGHT('2.VL'!Y12,4)</f>
        <v>Mác 0</v>
      </c>
      <c r="U12" s="186">
        <f>'2.VL'!S12</f>
        <v>0</v>
      </c>
      <c r="V12" s="186" t="s">
        <v>1106</v>
      </c>
      <c r="W12" s="186">
        <f>'2.VL'!U12</f>
        <v>0</v>
      </c>
      <c r="X12" s="172"/>
      <c r="Y12" s="176" t="e">
        <f>'2.VL'!AJ12</f>
        <v>#N/A</v>
      </c>
      <c r="Z12" s="176" t="e">
        <f>'2.VL'!AK12</f>
        <v>#N/A</v>
      </c>
      <c r="AA12" s="176" t="e">
        <f>'2.VL'!AL12</f>
        <v>#N/A</v>
      </c>
      <c r="AB12" s="176" t="e">
        <f>'2.VL'!AM12</f>
        <v>#N/A</v>
      </c>
      <c r="AC12" s="176">
        <f>'2.VL'!AN12</f>
        <v>0</v>
      </c>
      <c r="AD12" s="173"/>
    </row>
    <row r="13" spans="1:30" s="141" customFormat="1">
      <c r="A13" s="186">
        <v>12</v>
      </c>
      <c r="B13" s="186"/>
      <c r="C13" s="186" t="s">
        <v>1687</v>
      </c>
      <c r="D13" s="141"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c r="S13" s="172"/>
      <c r="T13" s="156" t="str">
        <f>"Mác "&amp;RIGHT('2.VL'!Y13,4)</f>
        <v>Mác 0</v>
      </c>
      <c r="U13" s="186">
        <f>'2.VL'!S13</f>
        <v>0</v>
      </c>
      <c r="V13" s="186" t="s">
        <v>1106</v>
      </c>
      <c r="W13" s="186">
        <f>'2.VL'!U13</f>
        <v>0</v>
      </c>
      <c r="X13" s="172"/>
      <c r="Y13" s="176" t="e">
        <f>'2.VL'!AJ13</f>
        <v>#N/A</v>
      </c>
      <c r="Z13" s="176" t="e">
        <f>'2.VL'!AK13</f>
        <v>#N/A</v>
      </c>
      <c r="AA13" s="176" t="e">
        <f>'2.VL'!AL13</f>
        <v>#N/A</v>
      </c>
      <c r="AB13" s="176" t="e">
        <f>'2.VL'!AM13</f>
        <v>#N/A</v>
      </c>
      <c r="AC13" s="176">
        <f>'2.VL'!AN13</f>
        <v>0</v>
      </c>
      <c r="AD13" s="173"/>
    </row>
    <row r="14" spans="1:30" s="141" customFormat="1">
      <c r="A14" s="186">
        <v>13</v>
      </c>
      <c r="B14" s="186"/>
      <c r="C14" s="186" t="s">
        <v>1688</v>
      </c>
      <c r="D14" s="141"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c r="S14" s="172"/>
      <c r="T14" s="156" t="str">
        <f>"Mác "&amp;RIGHT('2.VL'!Y14,4)</f>
        <v>Mác 0</v>
      </c>
      <c r="U14" s="186">
        <f>'2.VL'!S14</f>
        <v>0</v>
      </c>
      <c r="V14" s="186" t="s">
        <v>1106</v>
      </c>
      <c r="W14" s="186">
        <f>'2.VL'!U14</f>
        <v>0</v>
      </c>
      <c r="X14" s="172"/>
      <c r="Y14" s="176" t="e">
        <f>'2.VL'!AJ14</f>
        <v>#N/A</v>
      </c>
      <c r="Z14" s="176" t="e">
        <f>'2.VL'!AK14</f>
        <v>#N/A</v>
      </c>
      <c r="AA14" s="176" t="e">
        <f>'2.VL'!AL14</f>
        <v>#N/A</v>
      </c>
      <c r="AB14" s="176" t="e">
        <f>'2.VL'!AM14</f>
        <v>#N/A</v>
      </c>
      <c r="AC14" s="176">
        <f>'2.VL'!AN14</f>
        <v>0</v>
      </c>
      <c r="AD14" s="173"/>
    </row>
    <row r="15" spans="1:30" s="141" customFormat="1">
      <c r="A15" s="186">
        <v>14</v>
      </c>
      <c r="B15" s="186"/>
      <c r="C15" s="186" t="s">
        <v>1689</v>
      </c>
      <c r="D15" s="141"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c r="S15" s="172"/>
      <c r="T15" s="156" t="str">
        <f>"Mác "&amp;RIGHT('2.VL'!Y15,4)</f>
        <v>Mác 0</v>
      </c>
      <c r="U15" s="186">
        <f>'2.VL'!S15</f>
        <v>0</v>
      </c>
      <c r="V15" s="186" t="s">
        <v>1106</v>
      </c>
      <c r="W15" s="186">
        <f>'2.VL'!U15</f>
        <v>0</v>
      </c>
      <c r="X15" s="172"/>
      <c r="Y15" s="176" t="e">
        <f>'2.VL'!AJ15</f>
        <v>#N/A</v>
      </c>
      <c r="Z15" s="176" t="e">
        <f>'2.VL'!AK15</f>
        <v>#N/A</v>
      </c>
      <c r="AA15" s="176" t="e">
        <f>'2.VL'!AL15</f>
        <v>#N/A</v>
      </c>
      <c r="AB15" s="176" t="e">
        <f>'2.VL'!AM15</f>
        <v>#N/A</v>
      </c>
      <c r="AC15" s="176">
        <f>'2.VL'!AN15</f>
        <v>0</v>
      </c>
      <c r="AD15" s="173"/>
    </row>
    <row r="16" spans="1:30" s="141" customFormat="1">
      <c r="A16" s="186">
        <v>15</v>
      </c>
      <c r="B16" s="186"/>
      <c r="C16" s="186" t="s">
        <v>1690</v>
      </c>
      <c r="D16" s="141"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c r="S16" s="172"/>
      <c r="T16" s="156" t="str">
        <f>"Mác "&amp;RIGHT('2.VL'!Y16,4)</f>
        <v>Mác 0</v>
      </c>
      <c r="U16" s="186">
        <f>'2.VL'!S16</f>
        <v>0</v>
      </c>
      <c r="V16" s="186" t="s">
        <v>1106</v>
      </c>
      <c r="W16" s="186">
        <f>'2.VL'!U16</f>
        <v>0</v>
      </c>
      <c r="X16" s="172"/>
      <c r="Y16" s="176" t="e">
        <f>'2.VL'!AJ16</f>
        <v>#N/A</v>
      </c>
      <c r="Z16" s="176" t="e">
        <f>'2.VL'!AK16</f>
        <v>#N/A</v>
      </c>
      <c r="AA16" s="176" t="e">
        <f>'2.VL'!AL16</f>
        <v>#N/A</v>
      </c>
      <c r="AB16" s="176" t="e">
        <f>'2.VL'!AM16</f>
        <v>#N/A</v>
      </c>
      <c r="AC16" s="176">
        <f>'2.VL'!AN16</f>
        <v>0</v>
      </c>
      <c r="AD16" s="173"/>
    </row>
    <row r="17" spans="1:30" s="141" customFormat="1">
      <c r="A17" s="186">
        <v>16</v>
      </c>
      <c r="B17" s="186"/>
      <c r="C17" s="186" t="s">
        <v>1691</v>
      </c>
      <c r="D17" s="141"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c r="S17" s="172"/>
      <c r="T17" s="156" t="e">
        <f>"Mác "&amp;RIGHT('2.VL'!Y17,4)</f>
        <v>#N/A</v>
      </c>
      <c r="U17" s="186" t="e">
        <f>'2.VL'!S17</f>
        <v>#N/A</v>
      </c>
      <c r="V17" s="186" t="s">
        <v>1106</v>
      </c>
      <c r="W17" s="186" t="e">
        <f>'2.VL'!U17</f>
        <v>#N/A</v>
      </c>
      <c r="X17" s="172"/>
      <c r="Y17" s="176" t="e">
        <f>'2.VL'!AJ17</f>
        <v>#N/A</v>
      </c>
      <c r="Z17" s="176" t="e">
        <f>'2.VL'!AK17</f>
        <v>#N/A</v>
      </c>
      <c r="AA17" s="176" t="e">
        <f>'2.VL'!AL17</f>
        <v>#N/A</v>
      </c>
      <c r="AB17" s="176" t="e">
        <f>'2.VL'!AM17</f>
        <v>#N/A</v>
      </c>
      <c r="AC17" s="176" t="e">
        <f>'2.VL'!AN17</f>
        <v>#N/A</v>
      </c>
      <c r="AD17" s="173"/>
    </row>
    <row r="18" spans="1:30">
      <c r="A18" s="186">
        <v>17</v>
      </c>
      <c r="B18" s="186"/>
      <c r="C18" s="186" t="s">
        <v>1692</v>
      </c>
      <c r="D18" s="141"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c r="T18" s="156" t="e">
        <f>"Mác "&amp;RIGHT('2.VL'!Y18,4)</f>
        <v>#N/A</v>
      </c>
      <c r="U18" s="186" t="e">
        <f>'2.VL'!S18</f>
        <v>#N/A</v>
      </c>
      <c r="V18" s="186" t="s">
        <v>1106</v>
      </c>
      <c r="W18" s="186" t="e">
        <f>'2.VL'!U18</f>
        <v>#N/A</v>
      </c>
      <c r="Y18" s="176" t="e">
        <f>'2.VL'!AJ18</f>
        <v>#N/A</v>
      </c>
      <c r="Z18" s="176" t="e">
        <f>'2.VL'!AK18</f>
        <v>#N/A</v>
      </c>
      <c r="AA18" s="176" t="e">
        <f>'2.VL'!AL18</f>
        <v>#N/A</v>
      </c>
      <c r="AB18" s="176" t="e">
        <f>'2.VL'!AM18</f>
        <v>#N/A</v>
      </c>
      <c r="AC18" s="176" t="e">
        <f>'2.VL'!AN18</f>
        <v>#N/A</v>
      </c>
    </row>
    <row r="19" spans="1:30">
      <c r="A19" s="186">
        <v>18</v>
      </c>
      <c r="B19" s="186"/>
      <c r="C19" s="186" t="s">
        <v>1693</v>
      </c>
      <c r="D19" s="141"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c r="T19" s="156" t="e">
        <f>"Mác "&amp;RIGHT('2.VL'!Y19,4)</f>
        <v>#N/A</v>
      </c>
      <c r="U19" s="186" t="e">
        <f>'2.VL'!S19</f>
        <v>#N/A</v>
      </c>
      <c r="V19" s="186" t="s">
        <v>1106</v>
      </c>
      <c r="W19" s="186" t="e">
        <f>'2.VL'!U19</f>
        <v>#N/A</v>
      </c>
      <c r="Y19" s="176" t="e">
        <f>'2.VL'!AJ19</f>
        <v>#N/A</v>
      </c>
      <c r="Z19" s="176" t="e">
        <f>'2.VL'!AK19</f>
        <v>#N/A</v>
      </c>
      <c r="AA19" s="176" t="e">
        <f>'2.VL'!AL19</f>
        <v>#N/A</v>
      </c>
      <c r="AB19" s="176" t="e">
        <f>'2.VL'!AM19</f>
        <v>#N/A</v>
      </c>
      <c r="AC19" s="176" t="e">
        <f>'2.VL'!AN19</f>
        <v>#N/A</v>
      </c>
    </row>
    <row r="20" spans="1:30">
      <c r="A20" s="186">
        <v>19</v>
      </c>
      <c r="B20" s="186"/>
      <c r="C20" s="186" t="s">
        <v>1694</v>
      </c>
      <c r="D20" s="141"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c r="T20" s="156" t="e">
        <f>"Mác "&amp;RIGHT('2.VL'!Y20,4)</f>
        <v>#N/A</v>
      </c>
      <c r="U20" s="186" t="e">
        <f>'2.VL'!S20</f>
        <v>#N/A</v>
      </c>
      <c r="V20" s="186" t="s">
        <v>1106</v>
      </c>
      <c r="W20" s="186" t="e">
        <f>'2.VL'!U20</f>
        <v>#N/A</v>
      </c>
      <c r="Y20" s="176" t="e">
        <f>'2.VL'!AJ20</f>
        <v>#N/A</v>
      </c>
      <c r="Z20" s="176" t="e">
        <f>'2.VL'!AK20</f>
        <v>#N/A</v>
      </c>
      <c r="AA20" s="176" t="e">
        <f>'2.VL'!AL20</f>
        <v>#N/A</v>
      </c>
      <c r="AB20" s="176" t="e">
        <f>'2.VL'!AM20</f>
        <v>#N/A</v>
      </c>
      <c r="AC20" s="176" t="e">
        <f>'2.VL'!AN20</f>
        <v>#N/A</v>
      </c>
    </row>
    <row r="21" spans="1:30">
      <c r="G21" s="154"/>
      <c r="K21" s="142"/>
      <c r="P21" s="142"/>
    </row>
    <row r="22" spans="1:30">
      <c r="G22" s="154"/>
      <c r="K22" s="142"/>
      <c r="P22" s="142"/>
    </row>
    <row r="23" spans="1:30">
      <c r="G23" s="154"/>
      <c r="K23" s="142"/>
      <c r="P23" s="142"/>
    </row>
    <row r="24" spans="1:30">
      <c r="G24" s="154"/>
      <c r="K24" s="142"/>
      <c r="P24" s="142"/>
    </row>
    <row r="25" spans="1:30">
      <c r="K25" s="142"/>
      <c r="P25" s="142"/>
    </row>
    <row r="26" spans="1:30">
      <c r="K26" s="142"/>
      <c r="P26" s="142"/>
    </row>
    <row r="27" spans="1:30">
      <c r="K27" s="142"/>
      <c r="P27" s="142"/>
    </row>
    <row r="28" spans="1:30">
      <c r="E28" s="139"/>
      <c r="G28" s="139"/>
      <c r="H28" s="139"/>
      <c r="J28" s="141"/>
      <c r="K28" s="142"/>
      <c r="M28" s="141"/>
      <c r="O28" s="141"/>
      <c r="P28" s="142"/>
    </row>
    <row r="29" spans="1:30">
      <c r="K29" s="142"/>
      <c r="P29" s="142"/>
    </row>
    <row r="30" spans="1:30">
      <c r="K30" s="142"/>
      <c r="P30" s="142"/>
    </row>
    <row r="31" spans="1:30">
      <c r="K31" s="142"/>
      <c r="P31" s="142"/>
    </row>
    <row r="32" spans="1:30">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F1551"/>
  <sheetViews>
    <sheetView zoomScale="85" zoomScaleNormal="85" workbookViewId="0">
      <pane xSplit="4" ySplit="1" topLeftCell="R2" activePane="bottomRight" state="frozen"/>
      <selection activeCell="AN16" sqref="AN16"/>
      <selection pane="topRight" activeCell="AN16" sqref="AN16"/>
      <selection pane="bottomLeft" activeCell="AN16" sqref="AN16"/>
      <selection pane="bottomRight" activeCell="C7" sqref="C7"/>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0" style="141" bestFit="1" customWidth="1"/>
    <col min="6" max="6" width="19.875" style="141" bestFit="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2.625" style="139" customWidth="1"/>
    <col min="19" max="19" width="0.625" style="172" customWidth="1"/>
    <col min="20" max="20" width="17.875" style="139" customWidth="1"/>
    <col min="21" max="22" width="11.75" style="139" hidden="1" customWidth="1"/>
    <col min="23" max="24" width="9" style="139"/>
    <col min="25" max="25" width="0.5" style="165" customWidth="1"/>
    <col min="26" max="26" width="9.375" style="139" bestFit="1" customWidth="1"/>
    <col min="27" max="28" width="10.375" style="139" bestFit="1" customWidth="1"/>
    <col min="29" max="30" width="9" style="139"/>
    <col min="31" max="31" width="0.625" style="172" customWidth="1"/>
    <col min="32" max="16384" width="9" style="139"/>
  </cols>
  <sheetData>
    <row r="1" spans="1:32"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c r="T1" s="162" t="s">
        <v>1094</v>
      </c>
      <c r="U1" s="170" t="s">
        <v>1123</v>
      </c>
      <c r="V1" s="170" t="s">
        <v>1124</v>
      </c>
      <c r="W1" s="162" t="s">
        <v>1107</v>
      </c>
      <c r="X1" s="162" t="s">
        <v>1108</v>
      </c>
      <c r="Z1" s="163" t="s">
        <v>1095</v>
      </c>
      <c r="AA1" s="163" t="s">
        <v>1087</v>
      </c>
      <c r="AB1" s="163" t="s">
        <v>1088</v>
      </c>
      <c r="AC1" s="163" t="s">
        <v>1089</v>
      </c>
      <c r="AD1" s="163" t="s">
        <v>1109</v>
      </c>
    </row>
    <row r="2" spans="1:32" ht="16.5" thickTop="1">
      <c r="A2" s="139">
        <v>1</v>
      </c>
      <c r="C2" s="139" t="s">
        <v>1743</v>
      </c>
      <c r="D2" s="140" t="str">
        <f t="shared" ref="D2:D20" si="0">VLOOKUP($C2,TUANBV,2,0)</f>
        <v>Giám sát quá trình đổ bê tông lót móng</v>
      </c>
      <c r="E2" s="141" t="str">
        <f t="shared" ref="E2:E20" si="1">VLOOKUP($C2,TUANBV,3,0)</f>
        <v>Nhà tiểu học 3 phòng</v>
      </c>
      <c r="F2" s="141" t="str">
        <f t="shared" ref="F2:F20" si="2">VLOOKUP($C2,TUANBV,4,0)</f>
        <v>Điểm TĐC Pom Chốn</v>
      </c>
      <c r="G2" s="141" t="str">
        <f t="shared" ref="G2:G20" si="3">VLOOKUP($C2,TUANBV,5,0)</f>
        <v>2/GSTH3PC</v>
      </c>
      <c r="H2" s="141" t="str">
        <f t="shared" ref="H2:H20" si="4">VLOOKUP($C2,TUANBV,6,0)</f>
        <v>2/GSTH3PC</v>
      </c>
      <c r="I2" s="141" t="str">
        <f t="shared" ref="I2:I20" si="5">VLOOKUP($C2,TUANBV,7,0)</f>
        <v>18</v>
      </c>
      <c r="J2" s="141" t="str">
        <f t="shared" ref="J2:J20" si="6">VLOOKUP($C2,TUANBV,8,0)</f>
        <v>08</v>
      </c>
      <c r="K2" s="142">
        <f t="shared" ref="K2:K20" si="7">VLOOKUP($C2,TUANBV,9,0)</f>
        <v>41869</v>
      </c>
      <c r="L2" s="141" t="str">
        <f t="shared" ref="L2:L20" si="8">VLOOKUP($C2,TUANBV,10,0)</f>
        <v>14 giờ 00</v>
      </c>
      <c r="M2" s="141" t="str">
        <f t="shared" ref="M2:M20" si="9">VLOOKUP($C2,TUANBV,11,0)</f>
        <v>16 giờ 00</v>
      </c>
      <c r="N2" s="141" t="str">
        <f t="shared" ref="N2:N20" si="10">VLOOKUP($C2,TUANBV,12,0)</f>
        <v>19</v>
      </c>
      <c r="O2" s="141" t="str">
        <f t="shared" ref="O2:O20" si="11">VLOOKUP($C2,TUANBV,13,0)</f>
        <v>08</v>
      </c>
      <c r="P2" s="142">
        <f t="shared" ref="P2:P20" si="12">VLOOKUP($C2,TUANBV,14,0)</f>
        <v>41870</v>
      </c>
      <c r="Q2" s="141" t="str">
        <f t="shared" ref="Q2:Q20" si="13">VLOOKUP($C2,TUANBV,15,0)</f>
        <v>Nguyễn Xuân Quỳnh</v>
      </c>
      <c r="R2" s="141" t="str">
        <f t="shared" ref="R2:R20" si="14">VLOOKUP($C2,TUANBV,16,0)</f>
        <v>Lê Văn Thái</v>
      </c>
      <c r="T2" s="139" t="str">
        <f>'2.VL'!Y2</f>
        <v>Bê tông mác 100#</v>
      </c>
      <c r="U2" s="177" t="s">
        <v>1539</v>
      </c>
      <c r="V2" s="177" t="s">
        <v>1586</v>
      </c>
      <c r="W2" s="139">
        <f>'2.VL'!W2</f>
        <v>8.6300000000000008</v>
      </c>
      <c r="X2" s="139">
        <f>ROUND(W2*1.1,2)</f>
        <v>9.49</v>
      </c>
      <c r="Z2" s="139" t="str">
        <f t="shared" ref="Z2:Z20" si="15">VLOOKUP($T2,CPBT,2,0)&amp;" (kg)"</f>
        <v>187 (kg)</v>
      </c>
      <c r="AA2" s="186" t="str">
        <f t="shared" ref="AA2:AA20" si="16">VLOOKUP($T2,CPBT,3,0)&amp;" (m3)"</f>
        <v>0.502 (m3)</v>
      </c>
      <c r="AB2" s="186" t="str">
        <f t="shared" ref="AB2:AB20" si="17">VLOOKUP($T2,CPBT,4,0)&amp;" (m3)"</f>
        <v>0.898 (m3)</v>
      </c>
      <c r="AC2" s="186" t="str">
        <f t="shared" ref="AC2:AC20" si="18">VLOOKUP($T2,CPBT,5,0)&amp;" lít"</f>
        <v>175 lít</v>
      </c>
      <c r="AD2" s="139" t="str">
        <f t="shared" ref="AD2:AD20" si="19">VLOOKUP($A2,BANGBT,9,0)</f>
        <v>29 độ C</v>
      </c>
    </row>
    <row r="3" spans="1:32">
      <c r="A3" s="139">
        <v>2</v>
      </c>
      <c r="C3" s="186" t="s">
        <v>1744</v>
      </c>
      <c r="D3" s="140" t="str">
        <f t="shared" si="0"/>
        <v>Giám sát quá trình đổ bê tông giằng móng</v>
      </c>
      <c r="E3" s="141" t="str">
        <f t="shared" si="1"/>
        <v>Nhà tiểu học 3 phòng</v>
      </c>
      <c r="F3" s="141" t="str">
        <f t="shared" si="2"/>
        <v>Điểm TĐC Pom Chốn</v>
      </c>
      <c r="G3" s="141" t="str">
        <f t="shared" si="3"/>
        <v>4/GSTH3PC</v>
      </c>
      <c r="H3" s="141" t="str">
        <f t="shared" si="4"/>
        <v>4/GSTH3PC</v>
      </c>
      <c r="I3" s="141" t="str">
        <f t="shared" si="5"/>
        <v>26</v>
      </c>
      <c r="J3" s="141" t="str">
        <f t="shared" si="6"/>
        <v>08</v>
      </c>
      <c r="K3" s="142">
        <f t="shared" si="7"/>
        <v>41877</v>
      </c>
      <c r="L3" s="141" t="str">
        <f t="shared" si="8"/>
        <v>14 giờ 00</v>
      </c>
      <c r="M3" s="141" t="str">
        <f t="shared" si="9"/>
        <v>16 giờ 00</v>
      </c>
      <c r="N3" s="141" t="str">
        <f t="shared" si="10"/>
        <v>27</v>
      </c>
      <c r="O3" s="141" t="str">
        <f t="shared" si="11"/>
        <v>08</v>
      </c>
      <c r="P3" s="142">
        <f t="shared" si="12"/>
        <v>41878</v>
      </c>
      <c r="Q3" s="141" t="str">
        <f t="shared" si="13"/>
        <v>Nguyễn Xuân Quỳnh</v>
      </c>
      <c r="R3" s="141" t="str">
        <f t="shared" si="14"/>
        <v>Lê Văn Thái</v>
      </c>
      <c r="T3" s="186" t="str">
        <f>'2.VL'!Y3</f>
        <v>Bê tông mác 200#</v>
      </c>
      <c r="U3" s="177" t="s">
        <v>1540</v>
      </c>
      <c r="V3" s="177" t="s">
        <v>1587</v>
      </c>
      <c r="W3" s="186">
        <f>'2.VL'!W3</f>
        <v>2.0499999999999998</v>
      </c>
      <c r="X3" s="186">
        <f t="shared" ref="X3:X4" si="20">ROUND(W3*1.1,2)</f>
        <v>2.2599999999999998</v>
      </c>
      <c r="Z3" s="186" t="str">
        <f t="shared" si="15"/>
        <v>341 (kg)</v>
      </c>
      <c r="AA3" s="186" t="str">
        <f t="shared" si="16"/>
        <v>0.45 (m3)</v>
      </c>
      <c r="AB3" s="186" t="str">
        <f t="shared" si="17"/>
        <v>0.866 (m3)</v>
      </c>
      <c r="AC3" s="186" t="str">
        <f t="shared" si="18"/>
        <v>195 lít</v>
      </c>
      <c r="AD3" s="186" t="str">
        <f t="shared" si="19"/>
        <v>29 độ C</v>
      </c>
    </row>
    <row r="4" spans="1:32" ht="31.5">
      <c r="A4" s="139">
        <v>3</v>
      </c>
      <c r="C4" s="186" t="s">
        <v>1745</v>
      </c>
      <c r="D4" s="140" t="str">
        <f t="shared" si="0"/>
        <v>Giám sát quá trình đổ bê tông lanh tô cửa sổ và cửa đi</v>
      </c>
      <c r="E4" s="141" t="str">
        <f t="shared" si="1"/>
        <v>Nhà tiểu học 3 phòng</v>
      </c>
      <c r="F4" s="141" t="str">
        <f t="shared" si="2"/>
        <v>Điểm TĐC Pom Chốn</v>
      </c>
      <c r="G4" s="141" t="str">
        <f t="shared" si="3"/>
        <v>6/GSTH3PC</v>
      </c>
      <c r="H4" s="141" t="str">
        <f t="shared" si="4"/>
        <v>6/GSTH3PC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c r="T4" s="186" t="str">
        <f>'2.VL'!Y4</f>
        <v>Bê tông mác 200#</v>
      </c>
      <c r="U4" s="177" t="s">
        <v>1541</v>
      </c>
      <c r="V4" s="177" t="s">
        <v>1588</v>
      </c>
      <c r="W4" s="186">
        <f>'2.VL'!W4</f>
        <v>0.78</v>
      </c>
      <c r="X4" s="186">
        <f t="shared" si="20"/>
        <v>0.86</v>
      </c>
      <c r="Z4" s="186" t="str">
        <f t="shared" si="15"/>
        <v>341 (kg)</v>
      </c>
      <c r="AA4" s="186" t="str">
        <f t="shared" si="16"/>
        <v>0.45 (m3)</v>
      </c>
      <c r="AB4" s="186" t="str">
        <f t="shared" si="17"/>
        <v>0.866 (m3)</v>
      </c>
      <c r="AC4" s="186" t="str">
        <f t="shared" si="18"/>
        <v>195 lít</v>
      </c>
      <c r="AD4" s="186" t="str">
        <f t="shared" si="19"/>
        <v>28 độ C</v>
      </c>
    </row>
    <row r="5" spans="1:32" ht="31.5">
      <c r="A5" s="186">
        <v>4</v>
      </c>
      <c r="C5" s="186" t="s">
        <v>1746</v>
      </c>
      <c r="D5" s="140" t="str">
        <f t="shared" si="0"/>
        <v>Giám sát quá trình đổ bê tông dầm D1, D2, D3, D4, D4A, D4B, bê tông sàn, sê nô thu nước</v>
      </c>
      <c r="E5" s="141" t="str">
        <f t="shared" si="1"/>
        <v>Nhà tiểu học 3 phòng</v>
      </c>
      <c r="F5" s="141" t="str">
        <f t="shared" si="2"/>
        <v>Điểm TĐC Pom Chốn</v>
      </c>
      <c r="G5" s="141" t="str">
        <f t="shared" si="3"/>
        <v>8/GSTH3PC</v>
      </c>
      <c r="H5" s="141" t="str">
        <f t="shared" si="4"/>
        <v>8/GSTH3PC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c r="T5" s="186" t="str">
        <f>'2.VL'!Y5</f>
        <v>Bê tông mác 200#</v>
      </c>
      <c r="U5" s="177" t="s">
        <v>1542</v>
      </c>
      <c r="V5" s="177" t="s">
        <v>1589</v>
      </c>
      <c r="W5" s="186">
        <f>'2.VL'!W5</f>
        <v>23.98</v>
      </c>
      <c r="X5" s="186">
        <f t="shared" ref="X5" si="21">ROUND(W5*1.1,2)</f>
        <v>26.38</v>
      </c>
      <c r="Z5" s="186" t="str">
        <f t="shared" si="15"/>
        <v>341 (kg)</v>
      </c>
      <c r="AA5" s="186" t="str">
        <f t="shared" si="16"/>
        <v>0.45 (m3)</v>
      </c>
      <c r="AB5" s="186" t="str">
        <f t="shared" si="17"/>
        <v>0.866 (m3)</v>
      </c>
      <c r="AC5" s="186" t="str">
        <f t="shared" si="18"/>
        <v>195 lít</v>
      </c>
      <c r="AD5" s="186" t="str">
        <f t="shared" si="19"/>
        <v>29 độ C</v>
      </c>
      <c r="AF5" s="186"/>
    </row>
    <row r="6" spans="1:32" ht="31.5">
      <c r="A6" s="186">
        <v>5</v>
      </c>
      <c r="C6" s="186" t="s">
        <v>1775</v>
      </c>
      <c r="D6" s="140" t="str">
        <f t="shared" si="0"/>
        <v>Giám sát quá trình đổ bê tông giằng tường thu hồi</v>
      </c>
      <c r="E6" s="141" t="str">
        <f t="shared" si="1"/>
        <v>Nhà tiểu học 3 phòng</v>
      </c>
      <c r="F6" s="141" t="str">
        <f t="shared" si="2"/>
        <v>Điểm TĐC Pom Chốn</v>
      </c>
      <c r="G6" s="141" t="str">
        <f t="shared" si="3"/>
        <v>10/GSTH3PC</v>
      </c>
      <c r="H6" s="141" t="str">
        <f t="shared" si="4"/>
        <v>10/GSTH3PC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c r="T6" s="186" t="str">
        <f>'2.VL'!Y6</f>
        <v>Bê tông mác 200#</v>
      </c>
      <c r="U6" s="177" t="s">
        <v>1543</v>
      </c>
      <c r="V6" s="177" t="s">
        <v>1590</v>
      </c>
      <c r="W6" s="186">
        <f>'2.VL'!W6</f>
        <v>1.1100000000000001</v>
      </c>
      <c r="X6" s="186">
        <f t="shared" ref="X6:X7" si="22">ROUND(W6*1.1,2)</f>
        <v>1.22</v>
      </c>
      <c r="Z6" s="186" t="str">
        <f t="shared" si="15"/>
        <v>341 (kg)</v>
      </c>
      <c r="AA6" s="186" t="str">
        <f t="shared" si="16"/>
        <v>0.45 (m3)</v>
      </c>
      <c r="AB6" s="186" t="str">
        <f t="shared" si="17"/>
        <v>0.866 (m3)</v>
      </c>
      <c r="AC6" s="186" t="str">
        <f t="shared" si="18"/>
        <v>195 lít</v>
      </c>
      <c r="AD6" s="186" t="str">
        <f t="shared" si="19"/>
        <v>29 độ C</v>
      </c>
      <c r="AF6" s="186"/>
    </row>
    <row r="7" spans="1:32" ht="31.5">
      <c r="A7" s="186">
        <v>6</v>
      </c>
      <c r="C7" s="186" t="s">
        <v>1776</v>
      </c>
      <c r="D7" s="140" t="str">
        <f t="shared" si="0"/>
        <v>Giám sát quá trình đổ bê tông Lam trang trí</v>
      </c>
      <c r="E7" s="141" t="str">
        <f t="shared" si="1"/>
        <v>Nhà tiểu học 3 phòng</v>
      </c>
      <c r="F7" s="141" t="str">
        <f t="shared" si="2"/>
        <v>Điểm TĐC Pom Chốn</v>
      </c>
      <c r="G7" s="141" t="str">
        <f t="shared" si="3"/>
        <v>11/GSTH3PC</v>
      </c>
      <c r="H7" s="141" t="str">
        <f t="shared" si="4"/>
        <v>11/GSTH3PC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c r="T7" s="186" t="str">
        <f>'2.VL'!Y7</f>
        <v>Bê tông mác 200#</v>
      </c>
      <c r="U7" s="177" t="s">
        <v>1544</v>
      </c>
      <c r="V7" s="177" t="s">
        <v>1591</v>
      </c>
      <c r="W7" s="186">
        <f>'2.VL'!W7</f>
        <v>0.68</v>
      </c>
      <c r="X7" s="186">
        <f t="shared" si="22"/>
        <v>0.75</v>
      </c>
      <c r="Z7" s="186" t="str">
        <f t="shared" si="15"/>
        <v>341 (kg)</v>
      </c>
      <c r="AA7" s="186" t="str">
        <f t="shared" si="16"/>
        <v>0.45 (m3)</v>
      </c>
      <c r="AB7" s="186" t="str">
        <f t="shared" si="17"/>
        <v>0.866 (m3)</v>
      </c>
      <c r="AC7" s="186" t="str">
        <f t="shared" si="18"/>
        <v>195 lít</v>
      </c>
      <c r="AD7" s="186" t="str">
        <f t="shared" si="19"/>
        <v>28 độ C</v>
      </c>
      <c r="AF7" s="186"/>
    </row>
    <row r="8" spans="1:32">
      <c r="A8" s="186">
        <v>7</v>
      </c>
      <c r="C8" s="186" t="s">
        <v>1831</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c r="T8" s="186">
        <f>'2.VL'!Y8</f>
        <v>0</v>
      </c>
      <c r="U8" s="177" t="s">
        <v>1545</v>
      </c>
      <c r="V8" s="177" t="s">
        <v>1592</v>
      </c>
      <c r="W8" s="186">
        <f>'2.VL'!W8</f>
        <v>0</v>
      </c>
      <c r="X8" s="186">
        <f t="shared" ref="X8:X9" si="23">ROUND(W8*1.1,2)</f>
        <v>0</v>
      </c>
      <c r="Z8" s="186" t="e">
        <f t="shared" si="15"/>
        <v>#N/A</v>
      </c>
      <c r="AA8" s="186" t="e">
        <f t="shared" si="16"/>
        <v>#N/A</v>
      </c>
      <c r="AB8" s="186" t="e">
        <f t="shared" si="17"/>
        <v>#N/A</v>
      </c>
      <c r="AC8" s="186" t="e">
        <f t="shared" si="18"/>
        <v>#N/A</v>
      </c>
      <c r="AD8" s="186">
        <f t="shared" si="19"/>
        <v>0</v>
      </c>
      <c r="AF8" s="186"/>
    </row>
    <row r="9" spans="1:32">
      <c r="A9" s="186">
        <v>8</v>
      </c>
      <c r="C9" s="186" t="s">
        <v>1832</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c r="T9" s="186">
        <f>'2.VL'!Y9</f>
        <v>0</v>
      </c>
      <c r="U9" s="177" t="s">
        <v>1546</v>
      </c>
      <c r="V9" s="177" t="s">
        <v>1593</v>
      </c>
      <c r="W9" s="186">
        <f>'2.VL'!W9</f>
        <v>0</v>
      </c>
      <c r="X9" s="186">
        <f t="shared" si="23"/>
        <v>0</v>
      </c>
      <c r="Z9" s="186" t="e">
        <f t="shared" si="15"/>
        <v>#N/A</v>
      </c>
      <c r="AA9" s="186" t="e">
        <f t="shared" si="16"/>
        <v>#N/A</v>
      </c>
      <c r="AB9" s="186" t="e">
        <f t="shared" si="17"/>
        <v>#N/A</v>
      </c>
      <c r="AC9" s="186" t="e">
        <f t="shared" si="18"/>
        <v>#N/A</v>
      </c>
      <c r="AD9" s="186">
        <f t="shared" si="19"/>
        <v>0</v>
      </c>
      <c r="AF9" s="186"/>
    </row>
    <row r="10" spans="1:32">
      <c r="A10" s="186">
        <v>9</v>
      </c>
      <c r="C10" s="186" t="s">
        <v>1833</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c r="T10" s="186">
        <f>'2.VL'!Y10</f>
        <v>0</v>
      </c>
      <c r="U10" s="177" t="s">
        <v>1546</v>
      </c>
      <c r="V10" s="177" t="s">
        <v>1593</v>
      </c>
      <c r="W10" s="186">
        <f>'2.VL'!W10</f>
        <v>0</v>
      </c>
      <c r="X10" s="186">
        <f t="shared" ref="X10:X20" si="24">ROUND(W10*1.1,2)</f>
        <v>0</v>
      </c>
      <c r="Z10" s="186" t="e">
        <f t="shared" si="15"/>
        <v>#N/A</v>
      </c>
      <c r="AA10" s="186" t="e">
        <f t="shared" si="16"/>
        <v>#N/A</v>
      </c>
      <c r="AB10" s="186" t="e">
        <f t="shared" si="17"/>
        <v>#N/A</v>
      </c>
      <c r="AC10" s="186" t="e">
        <f t="shared" si="18"/>
        <v>#N/A</v>
      </c>
      <c r="AD10" s="186">
        <f t="shared" si="19"/>
        <v>0</v>
      </c>
      <c r="AF10" s="186"/>
    </row>
    <row r="11" spans="1:32" s="141" customFormat="1">
      <c r="A11" s="186">
        <v>10</v>
      </c>
      <c r="C11" s="186" t="s">
        <v>1834</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72"/>
      <c r="T11" s="186">
        <f>'2.VL'!Y11</f>
        <v>0</v>
      </c>
      <c r="U11" s="177" t="s">
        <v>1546</v>
      </c>
      <c r="V11" s="177" t="s">
        <v>1593</v>
      </c>
      <c r="W11" s="186">
        <f>'2.VL'!W11</f>
        <v>0</v>
      </c>
      <c r="X11" s="186">
        <f t="shared" si="24"/>
        <v>0</v>
      </c>
      <c r="Y11" s="165"/>
      <c r="Z11" s="186" t="e">
        <f t="shared" si="15"/>
        <v>#N/A</v>
      </c>
      <c r="AA11" s="186" t="e">
        <f t="shared" si="16"/>
        <v>#N/A</v>
      </c>
      <c r="AB11" s="186" t="e">
        <f t="shared" si="17"/>
        <v>#N/A</v>
      </c>
      <c r="AC11" s="186" t="e">
        <f t="shared" si="18"/>
        <v>#N/A</v>
      </c>
      <c r="AD11" s="186">
        <f t="shared" si="19"/>
        <v>0</v>
      </c>
      <c r="AE11" s="173"/>
    </row>
    <row r="12" spans="1:32" s="141" customFormat="1">
      <c r="A12" s="186">
        <v>11</v>
      </c>
      <c r="C12" s="186" t="s">
        <v>1835</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c r="S12" s="172"/>
      <c r="T12" s="186">
        <f>'2.VL'!Y12</f>
        <v>0</v>
      </c>
      <c r="U12" s="177" t="s">
        <v>1546</v>
      </c>
      <c r="V12" s="177" t="s">
        <v>1593</v>
      </c>
      <c r="W12" s="186">
        <f>'2.VL'!W12</f>
        <v>0</v>
      </c>
      <c r="X12" s="186">
        <f t="shared" si="24"/>
        <v>0</v>
      </c>
      <c r="Y12" s="165"/>
      <c r="Z12" s="186" t="e">
        <f t="shared" si="15"/>
        <v>#N/A</v>
      </c>
      <c r="AA12" s="186" t="e">
        <f t="shared" si="16"/>
        <v>#N/A</v>
      </c>
      <c r="AB12" s="186" t="e">
        <f t="shared" si="17"/>
        <v>#N/A</v>
      </c>
      <c r="AC12" s="186" t="e">
        <f t="shared" si="18"/>
        <v>#N/A</v>
      </c>
      <c r="AD12" s="186">
        <f t="shared" si="19"/>
        <v>0</v>
      </c>
      <c r="AE12" s="173"/>
    </row>
    <row r="13" spans="1:32" s="141" customFormat="1">
      <c r="A13" s="186">
        <v>12</v>
      </c>
      <c r="C13" s="186" t="s">
        <v>1836</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c r="S13" s="172"/>
      <c r="T13" s="186">
        <f>'2.VL'!Y13</f>
        <v>0</v>
      </c>
      <c r="U13" s="177" t="s">
        <v>1546</v>
      </c>
      <c r="V13" s="177" t="s">
        <v>1593</v>
      </c>
      <c r="W13" s="186">
        <f>'2.VL'!W13</f>
        <v>0</v>
      </c>
      <c r="X13" s="186">
        <f t="shared" si="24"/>
        <v>0</v>
      </c>
      <c r="Y13" s="165"/>
      <c r="Z13" s="186" t="e">
        <f t="shared" si="15"/>
        <v>#N/A</v>
      </c>
      <c r="AA13" s="186" t="e">
        <f t="shared" si="16"/>
        <v>#N/A</v>
      </c>
      <c r="AB13" s="186" t="e">
        <f t="shared" si="17"/>
        <v>#N/A</v>
      </c>
      <c r="AC13" s="186" t="e">
        <f t="shared" si="18"/>
        <v>#N/A</v>
      </c>
      <c r="AD13" s="186">
        <f t="shared" si="19"/>
        <v>0</v>
      </c>
      <c r="AE13" s="173"/>
    </row>
    <row r="14" spans="1:32" s="141" customFormat="1">
      <c r="A14" s="186">
        <v>13</v>
      </c>
      <c r="C14" s="186" t="s">
        <v>1837</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c r="S14" s="172"/>
      <c r="T14" s="186">
        <f>'2.VL'!Y14</f>
        <v>0</v>
      </c>
      <c r="U14" s="177" t="s">
        <v>1546</v>
      </c>
      <c r="V14" s="177" t="s">
        <v>1593</v>
      </c>
      <c r="W14" s="186">
        <f>'2.VL'!W14</f>
        <v>0</v>
      </c>
      <c r="X14" s="186">
        <f t="shared" si="24"/>
        <v>0</v>
      </c>
      <c r="Y14" s="165"/>
      <c r="Z14" s="186" t="e">
        <f t="shared" si="15"/>
        <v>#N/A</v>
      </c>
      <c r="AA14" s="186" t="e">
        <f t="shared" si="16"/>
        <v>#N/A</v>
      </c>
      <c r="AB14" s="186" t="e">
        <f t="shared" si="17"/>
        <v>#N/A</v>
      </c>
      <c r="AC14" s="186" t="e">
        <f t="shared" si="18"/>
        <v>#N/A</v>
      </c>
      <c r="AD14" s="186">
        <f t="shared" si="19"/>
        <v>0</v>
      </c>
      <c r="AE14" s="173"/>
    </row>
    <row r="15" spans="1:32" s="141" customFormat="1">
      <c r="A15" s="186">
        <v>14</v>
      </c>
      <c r="C15" s="186" t="s">
        <v>1838</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c r="S15" s="172"/>
      <c r="T15" s="186">
        <f>'2.VL'!Y15</f>
        <v>0</v>
      </c>
      <c r="U15" s="177" t="s">
        <v>1546</v>
      </c>
      <c r="V15" s="177" t="s">
        <v>1593</v>
      </c>
      <c r="W15" s="186">
        <f>'2.VL'!W15</f>
        <v>0</v>
      </c>
      <c r="X15" s="186">
        <f t="shared" si="24"/>
        <v>0</v>
      </c>
      <c r="Y15" s="165"/>
      <c r="Z15" s="186" t="e">
        <f t="shared" si="15"/>
        <v>#N/A</v>
      </c>
      <c r="AA15" s="186" t="e">
        <f t="shared" si="16"/>
        <v>#N/A</v>
      </c>
      <c r="AB15" s="186" t="e">
        <f t="shared" si="17"/>
        <v>#N/A</v>
      </c>
      <c r="AC15" s="186" t="e">
        <f t="shared" si="18"/>
        <v>#N/A</v>
      </c>
      <c r="AD15" s="186">
        <f t="shared" si="19"/>
        <v>0</v>
      </c>
      <c r="AE15" s="173"/>
    </row>
    <row r="16" spans="1:32" s="141" customFormat="1">
      <c r="A16" s="186">
        <v>15</v>
      </c>
      <c r="C16" s="186" t="s">
        <v>1839</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c r="S16" s="172"/>
      <c r="T16" s="186">
        <f>'2.VL'!Y16</f>
        <v>0</v>
      </c>
      <c r="U16" s="177" t="s">
        <v>1546</v>
      </c>
      <c r="V16" s="177" t="s">
        <v>1593</v>
      </c>
      <c r="W16" s="186">
        <f>'2.VL'!W16</f>
        <v>0</v>
      </c>
      <c r="X16" s="186">
        <f t="shared" si="24"/>
        <v>0</v>
      </c>
      <c r="Y16" s="165"/>
      <c r="Z16" s="186" t="e">
        <f t="shared" si="15"/>
        <v>#N/A</v>
      </c>
      <c r="AA16" s="186" t="e">
        <f t="shared" si="16"/>
        <v>#N/A</v>
      </c>
      <c r="AB16" s="186" t="e">
        <f t="shared" si="17"/>
        <v>#N/A</v>
      </c>
      <c r="AC16" s="186" t="e">
        <f t="shared" si="18"/>
        <v>#N/A</v>
      </c>
      <c r="AD16" s="186">
        <f t="shared" si="19"/>
        <v>0</v>
      </c>
      <c r="AE16" s="173"/>
    </row>
    <row r="17" spans="1:31" s="141" customFormat="1">
      <c r="A17" s="186">
        <v>16</v>
      </c>
      <c r="C17" s="186" t="s">
        <v>1840</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c r="S17" s="172"/>
      <c r="T17" s="186" t="e">
        <f>'2.VL'!Y17</f>
        <v>#N/A</v>
      </c>
      <c r="U17" s="177" t="s">
        <v>1546</v>
      </c>
      <c r="V17" s="177" t="s">
        <v>1593</v>
      </c>
      <c r="W17" s="186" t="e">
        <f>'2.VL'!W17</f>
        <v>#N/A</v>
      </c>
      <c r="X17" s="186" t="e">
        <f t="shared" si="24"/>
        <v>#N/A</v>
      </c>
      <c r="Y17" s="165"/>
      <c r="Z17" s="186" t="e">
        <f t="shared" si="15"/>
        <v>#N/A</v>
      </c>
      <c r="AA17" s="186" t="e">
        <f t="shared" si="16"/>
        <v>#N/A</v>
      </c>
      <c r="AB17" s="186" t="e">
        <f t="shared" si="17"/>
        <v>#N/A</v>
      </c>
      <c r="AC17" s="186" t="e">
        <f t="shared" si="18"/>
        <v>#N/A</v>
      </c>
      <c r="AD17" s="186" t="e">
        <f t="shared" si="19"/>
        <v>#N/A</v>
      </c>
      <c r="AE17" s="173"/>
    </row>
    <row r="18" spans="1:31">
      <c r="A18" s="186">
        <v>17</v>
      </c>
      <c r="C18" s="186" t="s">
        <v>1841</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c r="T18" s="186" t="e">
        <f>'2.VL'!Y18</f>
        <v>#N/A</v>
      </c>
      <c r="U18" s="177" t="s">
        <v>1546</v>
      </c>
      <c r="V18" s="177" t="s">
        <v>1593</v>
      </c>
      <c r="W18" s="186" t="e">
        <f>'2.VL'!W18</f>
        <v>#N/A</v>
      </c>
      <c r="X18" s="186" t="e">
        <f t="shared" si="24"/>
        <v>#N/A</v>
      </c>
      <c r="Z18" s="186" t="e">
        <f t="shared" si="15"/>
        <v>#N/A</v>
      </c>
      <c r="AA18" s="186" t="e">
        <f t="shared" si="16"/>
        <v>#N/A</v>
      </c>
      <c r="AB18" s="186" t="e">
        <f t="shared" si="17"/>
        <v>#N/A</v>
      </c>
      <c r="AC18" s="186" t="e">
        <f t="shared" si="18"/>
        <v>#N/A</v>
      </c>
      <c r="AD18" s="186" t="e">
        <f t="shared" si="19"/>
        <v>#N/A</v>
      </c>
    </row>
    <row r="19" spans="1:31">
      <c r="A19" s="186">
        <v>18</v>
      </c>
      <c r="C19" s="186" t="s">
        <v>1842</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c r="T19" s="186" t="e">
        <f>'2.VL'!Y19</f>
        <v>#N/A</v>
      </c>
      <c r="U19" s="177" t="s">
        <v>1546</v>
      </c>
      <c r="V19" s="177" t="s">
        <v>1593</v>
      </c>
      <c r="W19" s="186" t="e">
        <f>'2.VL'!W19</f>
        <v>#N/A</v>
      </c>
      <c r="X19" s="186" t="e">
        <f t="shared" si="24"/>
        <v>#N/A</v>
      </c>
      <c r="Z19" s="186" t="e">
        <f t="shared" si="15"/>
        <v>#N/A</v>
      </c>
      <c r="AA19" s="186" t="e">
        <f t="shared" si="16"/>
        <v>#N/A</v>
      </c>
      <c r="AB19" s="186" t="e">
        <f t="shared" si="17"/>
        <v>#N/A</v>
      </c>
      <c r="AC19" s="186" t="e">
        <f t="shared" si="18"/>
        <v>#N/A</v>
      </c>
      <c r="AD19" s="186" t="e">
        <f t="shared" si="19"/>
        <v>#N/A</v>
      </c>
    </row>
    <row r="20" spans="1:31">
      <c r="A20" s="186">
        <v>19</v>
      </c>
      <c r="C20" s="186" t="s">
        <v>1843</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c r="T20" s="186" t="e">
        <f>'2.VL'!Y20</f>
        <v>#N/A</v>
      </c>
      <c r="U20" s="177" t="s">
        <v>1546</v>
      </c>
      <c r="V20" s="177" t="s">
        <v>1593</v>
      </c>
      <c r="W20" s="186" t="e">
        <f>'2.VL'!W20</f>
        <v>#N/A</v>
      </c>
      <c r="X20" s="186" t="e">
        <f t="shared" si="24"/>
        <v>#N/A</v>
      </c>
      <c r="Z20" s="186" t="e">
        <f t="shared" si="15"/>
        <v>#N/A</v>
      </c>
      <c r="AA20" s="186" t="e">
        <f t="shared" si="16"/>
        <v>#N/A</v>
      </c>
      <c r="AB20" s="186" t="e">
        <f t="shared" si="17"/>
        <v>#N/A</v>
      </c>
      <c r="AC20" s="186" t="e">
        <f t="shared" si="18"/>
        <v>#N/A</v>
      </c>
      <c r="AD20" s="186" t="e">
        <f t="shared" si="19"/>
        <v>#N/A</v>
      </c>
    </row>
    <row r="21" spans="1:31">
      <c r="G21" s="154"/>
      <c r="K21" s="142"/>
      <c r="P21" s="142"/>
    </row>
    <row r="22" spans="1:31">
      <c r="G22" s="154"/>
      <c r="K22" s="142"/>
      <c r="P22" s="142"/>
    </row>
    <row r="23" spans="1:31">
      <c r="G23" s="154"/>
      <c r="K23" s="142"/>
      <c r="P23" s="142"/>
    </row>
    <row r="24" spans="1:31">
      <c r="G24" s="154"/>
      <c r="K24" s="142"/>
      <c r="P24" s="142"/>
    </row>
    <row r="25" spans="1:31">
      <c r="K25" s="142"/>
      <c r="P25" s="142"/>
    </row>
    <row r="26" spans="1:31" ht="157.5">
      <c r="D26" s="140" t="s">
        <v>1383</v>
      </c>
      <c r="K26" s="142"/>
      <c r="P26" s="142"/>
    </row>
    <row r="27" spans="1:31" ht="31.5">
      <c r="D27" s="140" t="s">
        <v>1382</v>
      </c>
      <c r="K27" s="142"/>
      <c r="P27" s="142"/>
    </row>
    <row r="28" spans="1:31">
      <c r="E28" s="139"/>
      <c r="G28" s="139"/>
      <c r="H28" s="139"/>
      <c r="J28" s="141"/>
      <c r="K28" s="142"/>
      <c r="M28" s="141"/>
      <c r="O28" s="141"/>
      <c r="P28" s="142"/>
    </row>
    <row r="29" spans="1:31" ht="141.75">
      <c r="D29" s="140" t="s">
        <v>1384</v>
      </c>
      <c r="K29" s="142"/>
      <c r="P29" s="142"/>
    </row>
    <row r="30" spans="1:31" ht="31.5">
      <c r="D30" s="276" t="s">
        <v>1385</v>
      </c>
      <c r="K30" s="142"/>
      <c r="P30" s="142"/>
    </row>
    <row r="31" spans="1:31">
      <c r="K31" s="142"/>
      <c r="P31" s="142"/>
    </row>
    <row r="32" spans="1:31">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C1551"/>
  <sheetViews>
    <sheetView zoomScale="85" zoomScaleNormal="85" workbookViewId="0">
      <pane xSplit="4" ySplit="1" topLeftCell="E2" activePane="bottomRight" state="frozen"/>
      <selection activeCell="AN16" sqref="AN16"/>
      <selection pane="topRight" activeCell="AN16" sqref="AN16"/>
      <selection pane="bottomLeft" activeCell="AN16" sqref="AN16"/>
      <selection pane="bottomRight" activeCell="AN16" sqref="AN16"/>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7.125" style="141" bestFit="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9" width="16.25" style="139" bestFit="1" customWidth="1"/>
    <col min="20" max="20" width="0.5" style="165" customWidth="1"/>
    <col min="21" max="21" width="15.25" style="139" bestFit="1" customWidth="1"/>
    <col min="22" max="24" width="16" style="139" bestFit="1" customWidth="1"/>
    <col min="25" max="16384" width="9" style="139"/>
  </cols>
  <sheetData>
    <row r="1" spans="1:29"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c r="S1" s="153" t="s">
        <v>1110</v>
      </c>
      <c r="U1" s="161" t="s">
        <v>1112</v>
      </c>
      <c r="V1" s="161" t="s">
        <v>1113</v>
      </c>
      <c r="W1" s="161" t="s">
        <v>1114</v>
      </c>
      <c r="X1" s="161" t="s">
        <v>1115</v>
      </c>
      <c r="Y1" s="159"/>
      <c r="Z1" s="159"/>
      <c r="AA1" s="159"/>
      <c r="AB1" s="159"/>
      <c r="AC1" s="159"/>
    </row>
    <row r="2" spans="1:29" ht="16.5" thickTop="1">
      <c r="A2" s="139">
        <v>1</v>
      </c>
      <c r="C2" s="139" t="s">
        <v>1494</v>
      </c>
      <c r="D2" s="140" t="str">
        <f t="shared" ref="D2:D20" si="0">VLOOKUP($C2,TUANBV,2,0)</f>
        <v>Lấy mẫu bê tông lót móng</v>
      </c>
      <c r="E2" s="141" t="str">
        <f t="shared" ref="E2:E20" si="1">VLOOKUP($C2,TUANBV,3,0)</f>
        <v>Nhà tiểu học 3 phòng</v>
      </c>
      <c r="F2" s="141" t="str">
        <f t="shared" ref="F2:F20" si="2">VLOOKUP($C2,TUANBV,4,0)</f>
        <v>Điểm TĐC Pom Chốn</v>
      </c>
      <c r="G2" s="141" t="str">
        <f t="shared" ref="G2:G20" si="3">VLOOKUP($C2,TUANBV,5,0)</f>
        <v>2/LMTH3PC</v>
      </c>
      <c r="H2" s="141" t="str">
        <f t="shared" ref="H2:H20" si="4">VLOOKUP($C2,TUANBV,6,0)</f>
        <v>2/LMTH3PC</v>
      </c>
      <c r="I2" s="141" t="str">
        <f t="shared" ref="I2:I20" si="5">VLOOKUP($C2,TUANBV,7,0)</f>
        <v>18</v>
      </c>
      <c r="J2" s="141" t="str">
        <f t="shared" ref="J2:J20" si="6">VLOOKUP($C2,TUANBV,8,0)</f>
        <v>08</v>
      </c>
      <c r="K2" s="142">
        <f t="shared" ref="K2:K20" si="7">VLOOKUP($C2,TUANBV,9,0)</f>
        <v>41869</v>
      </c>
      <c r="L2" s="141" t="str">
        <f t="shared" ref="L2:L20" si="8">VLOOKUP($C2,TUANBV,10,0)</f>
        <v>14 giờ 00</v>
      </c>
      <c r="M2" s="141" t="str">
        <f t="shared" ref="M2:M20" si="9">VLOOKUP($C2,TUANBV,11,0)</f>
        <v>16 giờ 00</v>
      </c>
      <c r="N2" s="141" t="str">
        <f t="shared" ref="N2:N20" si="10">VLOOKUP($C2,TUANBV,12,0)</f>
        <v>19</v>
      </c>
      <c r="O2" s="141" t="str">
        <f t="shared" ref="O2:O20" si="11">VLOOKUP($C2,TUANBV,13,0)</f>
        <v>08</v>
      </c>
      <c r="P2" s="142">
        <f t="shared" ref="P2:P20" si="12">VLOOKUP($C2,TUANBV,14,0)</f>
        <v>41870</v>
      </c>
      <c r="Q2" s="141" t="str">
        <f t="shared" ref="Q2:Q20" si="13">VLOOKUP($C2,TUANBV,15,0)</f>
        <v>Nguyễn Xuân Quỳnh</v>
      </c>
      <c r="R2" s="141" t="str">
        <f t="shared" ref="R2:R20" si="14">VLOOKUP($C2,TUANBV,16,0)</f>
        <v>Lê Văn Thái</v>
      </c>
      <c r="S2" s="139" t="s">
        <v>1111</v>
      </c>
      <c r="U2" s="139" t="str">
        <f>"M"&amp;RIGHT('5.CBBT'!T2,4)</f>
        <v>M100#</v>
      </c>
      <c r="V2" s="139" t="str">
        <f>Y2&amp;"/"&amp;$AB2&amp;"/"&amp;$AC2</f>
        <v>1/TH3PC/M100</v>
      </c>
      <c r="W2" s="186" t="str">
        <f t="shared" ref="W2:X2" si="15">Z2&amp;"/"&amp;$AB2&amp;"/"&amp;$AC2</f>
        <v>2/TH3PC/M100</v>
      </c>
      <c r="X2" s="186" t="str">
        <f t="shared" si="15"/>
        <v>3/TH3PC/M100</v>
      </c>
      <c r="Y2" s="139">
        <f t="shared" ref="Y2:Y20" si="16">VLOOKUP($A2,BANGBT,10,0)</f>
        <v>1</v>
      </c>
      <c r="Z2" s="139">
        <f t="shared" ref="Z2:Z20" si="17">VLOOKUP($A2,BANGBT,11,0)</f>
        <v>2</v>
      </c>
      <c r="AA2" s="139">
        <f t="shared" ref="AA2:AA20" si="18">VLOOKUP($A2,BANGBT,12,0)</f>
        <v>3</v>
      </c>
      <c r="AB2" s="139" t="str">
        <f t="shared" ref="AB2:AB20" si="19">VLOOKUP($A2,BANGBT,13,0)</f>
        <v>TH3PC</v>
      </c>
      <c r="AC2" s="139" t="str">
        <f>LEFT(U2,4)</f>
        <v>M100</v>
      </c>
    </row>
    <row r="3" spans="1:29">
      <c r="A3" s="139">
        <v>2</v>
      </c>
      <c r="C3" s="186" t="s">
        <v>1498</v>
      </c>
      <c r="D3" s="140" t="str">
        <f t="shared" si="0"/>
        <v>Lấy mẫu bê tông giằng móng</v>
      </c>
      <c r="E3" s="141" t="str">
        <f t="shared" si="1"/>
        <v>Nhà tiểu học 3 phòng</v>
      </c>
      <c r="F3" s="141" t="str">
        <f t="shared" si="2"/>
        <v>Điểm TĐC Pom Chốn</v>
      </c>
      <c r="G3" s="141" t="str">
        <f t="shared" si="3"/>
        <v>4/LMTH3PC</v>
      </c>
      <c r="H3" s="141" t="str">
        <f t="shared" si="4"/>
        <v>4/LMTH3PC</v>
      </c>
      <c r="I3" s="141" t="str">
        <f t="shared" si="5"/>
        <v>26</v>
      </c>
      <c r="J3" s="141" t="str">
        <f t="shared" si="6"/>
        <v>08</v>
      </c>
      <c r="K3" s="142">
        <f t="shared" si="7"/>
        <v>41877</v>
      </c>
      <c r="L3" s="141" t="str">
        <f t="shared" si="8"/>
        <v>14 giờ 00</v>
      </c>
      <c r="M3" s="141" t="str">
        <f t="shared" si="9"/>
        <v>16 giờ 00</v>
      </c>
      <c r="N3" s="141" t="str">
        <f t="shared" si="10"/>
        <v>27</v>
      </c>
      <c r="O3" s="141" t="str">
        <f t="shared" si="11"/>
        <v>08</v>
      </c>
      <c r="P3" s="142">
        <f t="shared" si="12"/>
        <v>41878</v>
      </c>
      <c r="Q3" s="141" t="str">
        <f t="shared" si="13"/>
        <v>Nguyễn Xuân Quỳnh</v>
      </c>
      <c r="R3" s="141" t="str">
        <f t="shared" si="14"/>
        <v>Lê Văn Thái</v>
      </c>
      <c r="S3" s="139" t="s">
        <v>1111</v>
      </c>
      <c r="U3" s="186" t="str">
        <f>"M"&amp;RIGHT('5.CBBT'!T3,4)</f>
        <v>M200#</v>
      </c>
      <c r="V3" s="186" t="str">
        <f t="shared" ref="V3:V5" si="20">Y3&amp;"/"&amp;$AB3&amp;"/"&amp;$AC3</f>
        <v>4/TH3PC/M200</v>
      </c>
      <c r="W3" s="186" t="str">
        <f t="shared" ref="W3:W5" si="21">Z3&amp;"/"&amp;$AB3&amp;"/"&amp;$AC3</f>
        <v>5/TH3PC/M200</v>
      </c>
      <c r="X3" s="186" t="str">
        <f t="shared" ref="X3:X5" si="22">AA3&amp;"/"&amp;$AB3&amp;"/"&amp;$AC3</f>
        <v>6/TH3PC/M200</v>
      </c>
      <c r="Y3" s="186">
        <f t="shared" si="16"/>
        <v>4</v>
      </c>
      <c r="Z3" s="186">
        <f t="shared" si="17"/>
        <v>5</v>
      </c>
      <c r="AA3" s="186">
        <f t="shared" si="18"/>
        <v>6</v>
      </c>
      <c r="AB3" s="186" t="str">
        <f t="shared" si="19"/>
        <v>TH3PC</v>
      </c>
      <c r="AC3" s="139" t="str">
        <f>LEFT(U3,4)</f>
        <v>M200</v>
      </c>
    </row>
    <row r="4" spans="1:29" ht="31.5">
      <c r="A4" s="139">
        <v>3</v>
      </c>
      <c r="C4" s="186" t="s">
        <v>1503</v>
      </c>
      <c r="D4" s="140" t="str">
        <f t="shared" si="0"/>
        <v>Lấy mẫu bê tông lanh tô cửa sổ và cửa đi</v>
      </c>
      <c r="E4" s="141" t="str">
        <f t="shared" si="1"/>
        <v>Nhà tiểu học 3 phòng</v>
      </c>
      <c r="F4" s="141" t="str">
        <f t="shared" si="2"/>
        <v>Điểm TĐC Pom Chốn</v>
      </c>
      <c r="G4" s="141" t="str">
        <f t="shared" si="3"/>
        <v>6/LMTH3PC</v>
      </c>
      <c r="H4" s="141" t="str">
        <f t="shared" si="4"/>
        <v>6/LMTH3PC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c r="S4" s="139" t="s">
        <v>1111</v>
      </c>
      <c r="U4" s="186" t="str">
        <f>"M"&amp;RIGHT('5.CBBT'!T4,4)</f>
        <v>M200#</v>
      </c>
      <c r="V4" s="186" t="str">
        <f t="shared" si="20"/>
        <v>7/TH3PC/M200</v>
      </c>
      <c r="W4" s="186" t="str">
        <f t="shared" si="21"/>
        <v>8/TH3PC/M200</v>
      </c>
      <c r="X4" s="186" t="str">
        <f t="shared" si="22"/>
        <v>9/TH3PC/M200</v>
      </c>
      <c r="Y4" s="186">
        <f t="shared" si="16"/>
        <v>7</v>
      </c>
      <c r="Z4" s="186">
        <f t="shared" si="17"/>
        <v>8</v>
      </c>
      <c r="AA4" s="186">
        <f t="shared" si="18"/>
        <v>9</v>
      </c>
      <c r="AB4" s="186" t="str">
        <f t="shared" si="19"/>
        <v>TH3PC</v>
      </c>
      <c r="AC4" s="139" t="str">
        <f>LEFT(U4,4)</f>
        <v>M200</v>
      </c>
    </row>
    <row r="5" spans="1:29" ht="31.5">
      <c r="A5" s="186">
        <v>4</v>
      </c>
      <c r="C5" s="186" t="s">
        <v>1508</v>
      </c>
      <c r="D5" s="140" t="str">
        <f t="shared" si="0"/>
        <v>Lấy mẫu bê tông dầm D1, D2, D3, D4, D4A, D4B, bê tông sàn, sê nô thu nước</v>
      </c>
      <c r="E5" s="141" t="str">
        <f t="shared" si="1"/>
        <v>Nhà tiểu học 3 phòng</v>
      </c>
      <c r="F5" s="141" t="str">
        <f t="shared" si="2"/>
        <v>Điểm TĐC Pom Chốn</v>
      </c>
      <c r="G5" s="141" t="str">
        <f t="shared" si="3"/>
        <v>8/LMTH3PC</v>
      </c>
      <c r="H5" s="141" t="str">
        <f t="shared" si="4"/>
        <v>8/LMTH3PC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c r="S5" s="186" t="s">
        <v>1111</v>
      </c>
      <c r="U5" s="186" t="str">
        <f>"M"&amp;RIGHT('5.CBBT'!T5,4)</f>
        <v>M200#</v>
      </c>
      <c r="V5" s="186" t="str">
        <f t="shared" si="20"/>
        <v>10/TH3PC/M200</v>
      </c>
      <c r="W5" s="186" t="str">
        <f t="shared" si="21"/>
        <v>11/TH3PC/M200</v>
      </c>
      <c r="X5" s="186" t="str">
        <f t="shared" si="22"/>
        <v>12/TH3PC/M200</v>
      </c>
      <c r="Y5" s="186">
        <f t="shared" si="16"/>
        <v>10</v>
      </c>
      <c r="Z5" s="186">
        <f t="shared" si="17"/>
        <v>11</v>
      </c>
      <c r="AA5" s="186">
        <f t="shared" si="18"/>
        <v>12</v>
      </c>
      <c r="AB5" s="186" t="str">
        <f t="shared" si="19"/>
        <v>TH3PC</v>
      </c>
      <c r="AC5" s="186" t="str">
        <f t="shared" ref="AC5" si="23">LEFT(U5,4)</f>
        <v>M200</v>
      </c>
    </row>
    <row r="6" spans="1:29" ht="31.5">
      <c r="A6" s="186">
        <v>5</v>
      </c>
      <c r="C6" s="186" t="s">
        <v>1513</v>
      </c>
      <c r="D6" s="140" t="str">
        <f t="shared" si="0"/>
        <v>Lấy mẫu bê tông giằng tường thu hồi</v>
      </c>
      <c r="E6" s="141" t="str">
        <f t="shared" si="1"/>
        <v>Nhà tiểu học 3 phòng</v>
      </c>
      <c r="F6" s="141" t="str">
        <f t="shared" si="2"/>
        <v>Điểm TĐC Pom Chốn</v>
      </c>
      <c r="G6" s="141" t="str">
        <f t="shared" si="3"/>
        <v>10/LMTH3PC</v>
      </c>
      <c r="H6" s="141" t="str">
        <f t="shared" si="4"/>
        <v>10/LMTH3PC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c r="S6" s="186" t="s">
        <v>1111</v>
      </c>
      <c r="U6" s="186" t="str">
        <f>"M"&amp;RIGHT('5.CBBT'!T6,4)</f>
        <v>M200#</v>
      </c>
      <c r="V6" s="186" t="str">
        <f t="shared" ref="V6:V7" si="24">Y6&amp;"/"&amp;$AB6&amp;"/"&amp;$AC6</f>
        <v>13/TH3PC/M200</v>
      </c>
      <c r="W6" s="186" t="str">
        <f t="shared" ref="W6:W7" si="25">Z6&amp;"/"&amp;$AB6&amp;"/"&amp;$AC6</f>
        <v>14/TH3PC/M200</v>
      </c>
      <c r="X6" s="186" t="str">
        <f t="shared" ref="X6:X7" si="26">AA6&amp;"/"&amp;$AB6&amp;"/"&amp;$AC6</f>
        <v>15/TH3PC/M200</v>
      </c>
      <c r="Y6" s="186">
        <f t="shared" si="16"/>
        <v>13</v>
      </c>
      <c r="Z6" s="186">
        <f t="shared" si="17"/>
        <v>14</v>
      </c>
      <c r="AA6" s="186">
        <f t="shared" si="18"/>
        <v>15</v>
      </c>
      <c r="AB6" s="186" t="str">
        <f t="shared" si="19"/>
        <v>TH3PC</v>
      </c>
      <c r="AC6" s="186" t="str">
        <f t="shared" ref="AC6:AC7" si="27">LEFT(U6,4)</f>
        <v>M200</v>
      </c>
    </row>
    <row r="7" spans="1:29" ht="31.5">
      <c r="A7" s="186">
        <v>6</v>
      </c>
      <c r="C7" s="186" t="s">
        <v>1518</v>
      </c>
      <c r="D7" s="140" t="str">
        <f t="shared" si="0"/>
        <v>Lấy mẫu bê tông Lam trang trí</v>
      </c>
      <c r="E7" s="141" t="str">
        <f t="shared" si="1"/>
        <v>Nhà tiểu học 3 phòng</v>
      </c>
      <c r="F7" s="141" t="str">
        <f t="shared" si="2"/>
        <v>Điểm TĐC Pom Chốn</v>
      </c>
      <c r="G7" s="141" t="str">
        <f t="shared" si="3"/>
        <v>11/LMTH3PC</v>
      </c>
      <c r="H7" s="141" t="str">
        <f t="shared" si="4"/>
        <v>11/LMTH3PC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c r="S7" s="186" t="s">
        <v>1111</v>
      </c>
      <c r="U7" s="186" t="str">
        <f>"M"&amp;RIGHT('5.CBBT'!T7,4)</f>
        <v>M200#</v>
      </c>
      <c r="V7" s="186" t="str">
        <f t="shared" si="24"/>
        <v>16/TH3PC/M200</v>
      </c>
      <c r="W7" s="186" t="str">
        <f t="shared" si="25"/>
        <v>17/TH3PC/M200</v>
      </c>
      <c r="X7" s="186" t="str">
        <f t="shared" si="26"/>
        <v>18/TH3PC/M200</v>
      </c>
      <c r="Y7" s="186">
        <f t="shared" si="16"/>
        <v>16</v>
      </c>
      <c r="Z7" s="186">
        <f t="shared" si="17"/>
        <v>17</v>
      </c>
      <c r="AA7" s="186">
        <f t="shared" si="18"/>
        <v>18</v>
      </c>
      <c r="AB7" s="186" t="str">
        <f t="shared" si="19"/>
        <v>TH3PC</v>
      </c>
      <c r="AC7" s="186" t="str">
        <f t="shared" si="27"/>
        <v>M200</v>
      </c>
    </row>
    <row r="8" spans="1:29">
      <c r="A8" s="186">
        <v>7</v>
      </c>
      <c r="C8" s="186" t="s">
        <v>1523</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c r="S8" s="186" t="s">
        <v>1111</v>
      </c>
      <c r="U8" s="186" t="str">
        <f>"M"&amp;RIGHT('5.CBBT'!T8,4)</f>
        <v>Mác 0</v>
      </c>
      <c r="V8" s="186" t="str">
        <f t="shared" ref="V8:V9" si="28">Y8&amp;"/"&amp;$AB8&amp;"/"&amp;$AC8</f>
        <v xml:space="preserve">0/0/Mác </v>
      </c>
      <c r="W8" s="186" t="str">
        <f t="shared" ref="W8:W9" si="29">Z8&amp;"/"&amp;$AB8&amp;"/"&amp;$AC8</f>
        <v xml:space="preserve">0/0/Mác </v>
      </c>
      <c r="X8" s="186" t="str">
        <f t="shared" ref="X8:X9" si="30">AA8&amp;"/"&amp;$AB8&amp;"/"&amp;$AC8</f>
        <v xml:space="preserve">0/0/Mác </v>
      </c>
      <c r="Y8" s="186">
        <f t="shared" si="16"/>
        <v>0</v>
      </c>
      <c r="Z8" s="186">
        <f t="shared" si="17"/>
        <v>0</v>
      </c>
      <c r="AA8" s="186">
        <f t="shared" si="18"/>
        <v>0</v>
      </c>
      <c r="AB8" s="186">
        <f t="shared" si="19"/>
        <v>0</v>
      </c>
      <c r="AC8" s="186" t="str">
        <f t="shared" ref="AC8:AC9" si="31">LEFT(U8,4)</f>
        <v xml:space="preserve">Mác </v>
      </c>
    </row>
    <row r="9" spans="1:29">
      <c r="A9" s="186">
        <v>8</v>
      </c>
      <c r="C9" s="186" t="s">
        <v>1533</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c r="S9" s="186" t="s">
        <v>1111</v>
      </c>
      <c r="U9" s="186" t="str">
        <f>"M"&amp;RIGHT('5.CBBT'!T9,4)</f>
        <v>Mác 0</v>
      </c>
      <c r="V9" s="186" t="str">
        <f t="shared" si="28"/>
        <v xml:space="preserve">0/0/Mác </v>
      </c>
      <c r="W9" s="186" t="str">
        <f t="shared" si="29"/>
        <v xml:space="preserve">0/0/Mác </v>
      </c>
      <c r="X9" s="186" t="str">
        <f t="shared" si="30"/>
        <v xml:space="preserve">0/0/Mác </v>
      </c>
      <c r="Y9" s="186">
        <f t="shared" si="16"/>
        <v>0</v>
      </c>
      <c r="Z9" s="186">
        <f t="shared" si="17"/>
        <v>0</v>
      </c>
      <c r="AA9" s="186">
        <f t="shared" si="18"/>
        <v>0</v>
      </c>
      <c r="AB9" s="186">
        <f t="shared" si="19"/>
        <v>0</v>
      </c>
      <c r="AC9" s="186" t="str">
        <f t="shared" si="31"/>
        <v xml:space="preserve">Mác </v>
      </c>
    </row>
    <row r="10" spans="1:29">
      <c r="A10" s="186">
        <v>9</v>
      </c>
      <c r="B10" s="186"/>
      <c r="C10" s="186" t="s">
        <v>1695</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c r="S10" s="186" t="s">
        <v>1111</v>
      </c>
      <c r="U10" s="186" t="str">
        <f>"M"&amp;RIGHT('5.CBBT'!T10,4)</f>
        <v>Mác 0</v>
      </c>
      <c r="V10" s="186" t="str">
        <f t="shared" ref="V10:V20" si="32">Y10&amp;"/"&amp;$AB10&amp;"/"&amp;$AC10</f>
        <v xml:space="preserve">0/0/Mác </v>
      </c>
      <c r="W10" s="186" t="str">
        <f t="shared" ref="W10:W20" si="33">Z10&amp;"/"&amp;$AB10&amp;"/"&amp;$AC10</f>
        <v xml:space="preserve">0/0/Mác </v>
      </c>
      <c r="X10" s="186" t="str">
        <f t="shared" ref="X10:X20" si="34">AA10&amp;"/"&amp;$AB10&amp;"/"&amp;$AC10</f>
        <v xml:space="preserve">0/0/Mác </v>
      </c>
      <c r="Y10" s="186">
        <f t="shared" si="16"/>
        <v>0</v>
      </c>
      <c r="Z10" s="186">
        <f t="shared" si="17"/>
        <v>0</v>
      </c>
      <c r="AA10" s="186">
        <f t="shared" si="18"/>
        <v>0</v>
      </c>
      <c r="AB10" s="186">
        <f t="shared" si="19"/>
        <v>0</v>
      </c>
      <c r="AC10" s="186" t="str">
        <f t="shared" ref="AC10:AC20" si="35">LEFT(U10,4)</f>
        <v xml:space="preserve">Mác </v>
      </c>
    </row>
    <row r="11" spans="1:29" s="141" customFormat="1">
      <c r="A11" s="186">
        <v>10</v>
      </c>
      <c r="B11" s="186"/>
      <c r="C11" s="186" t="s">
        <v>1696</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86" t="s">
        <v>1111</v>
      </c>
      <c r="T11" s="165"/>
      <c r="U11" s="186" t="str">
        <f>"M"&amp;RIGHT('5.CBBT'!T11,4)</f>
        <v>Mác 0</v>
      </c>
      <c r="V11" s="186" t="str">
        <f t="shared" si="32"/>
        <v xml:space="preserve">0/0/Mác </v>
      </c>
      <c r="W11" s="186" t="str">
        <f t="shared" si="33"/>
        <v xml:space="preserve">0/0/Mác </v>
      </c>
      <c r="X11" s="186" t="str">
        <f t="shared" si="34"/>
        <v xml:space="preserve">0/0/Mác </v>
      </c>
      <c r="Y11" s="186">
        <f t="shared" si="16"/>
        <v>0</v>
      </c>
      <c r="Z11" s="186">
        <f t="shared" si="17"/>
        <v>0</v>
      </c>
      <c r="AA11" s="186">
        <f t="shared" si="18"/>
        <v>0</v>
      </c>
      <c r="AB11" s="186">
        <f t="shared" si="19"/>
        <v>0</v>
      </c>
      <c r="AC11" s="186" t="str">
        <f t="shared" si="35"/>
        <v xml:space="preserve">Mác </v>
      </c>
    </row>
    <row r="12" spans="1:29" s="141" customFormat="1">
      <c r="A12" s="186">
        <v>11</v>
      </c>
      <c r="B12" s="186"/>
      <c r="C12" s="186" t="s">
        <v>1697</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c r="S12" s="186" t="s">
        <v>1111</v>
      </c>
      <c r="T12" s="165"/>
      <c r="U12" s="186" t="str">
        <f>"M"&amp;RIGHT('5.CBBT'!T12,4)</f>
        <v>Mác 0</v>
      </c>
      <c r="V12" s="186" t="str">
        <f t="shared" si="32"/>
        <v xml:space="preserve">0/0/Mác </v>
      </c>
      <c r="W12" s="186" t="str">
        <f t="shared" si="33"/>
        <v xml:space="preserve">0/0/Mác </v>
      </c>
      <c r="X12" s="186" t="str">
        <f t="shared" si="34"/>
        <v xml:space="preserve">0/0/Mác </v>
      </c>
      <c r="Y12" s="186">
        <f t="shared" si="16"/>
        <v>0</v>
      </c>
      <c r="Z12" s="186">
        <f t="shared" si="17"/>
        <v>0</v>
      </c>
      <c r="AA12" s="186">
        <f t="shared" si="18"/>
        <v>0</v>
      </c>
      <c r="AB12" s="186">
        <f t="shared" si="19"/>
        <v>0</v>
      </c>
      <c r="AC12" s="186" t="str">
        <f t="shared" si="35"/>
        <v xml:space="preserve">Mác </v>
      </c>
    </row>
    <row r="13" spans="1:29" s="141" customFormat="1">
      <c r="A13" s="186">
        <v>12</v>
      </c>
      <c r="B13" s="186"/>
      <c r="C13" s="186" t="s">
        <v>1698</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c r="S13" s="186" t="s">
        <v>1111</v>
      </c>
      <c r="T13" s="165"/>
      <c r="U13" s="186" t="str">
        <f>"M"&amp;RIGHT('5.CBBT'!T13,4)</f>
        <v>Mác 0</v>
      </c>
      <c r="V13" s="186" t="str">
        <f t="shared" si="32"/>
        <v xml:space="preserve">0/0/Mác </v>
      </c>
      <c r="W13" s="186" t="str">
        <f t="shared" si="33"/>
        <v xml:space="preserve">0/0/Mác </v>
      </c>
      <c r="X13" s="186" t="str">
        <f t="shared" si="34"/>
        <v xml:space="preserve">0/0/Mác </v>
      </c>
      <c r="Y13" s="186">
        <f t="shared" si="16"/>
        <v>0</v>
      </c>
      <c r="Z13" s="186">
        <f t="shared" si="17"/>
        <v>0</v>
      </c>
      <c r="AA13" s="186">
        <f t="shared" si="18"/>
        <v>0</v>
      </c>
      <c r="AB13" s="186">
        <f t="shared" si="19"/>
        <v>0</v>
      </c>
      <c r="AC13" s="186" t="str">
        <f t="shared" si="35"/>
        <v xml:space="preserve">Mác </v>
      </c>
    </row>
    <row r="14" spans="1:29" s="141" customFormat="1">
      <c r="A14" s="186">
        <v>13</v>
      </c>
      <c r="B14" s="186"/>
      <c r="C14" s="186" t="s">
        <v>1699</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c r="S14" s="186" t="s">
        <v>1111</v>
      </c>
      <c r="T14" s="165"/>
      <c r="U14" s="186" t="str">
        <f>"M"&amp;RIGHT('5.CBBT'!T14,4)</f>
        <v>Mác 0</v>
      </c>
      <c r="V14" s="186" t="str">
        <f t="shared" si="32"/>
        <v xml:space="preserve">0/0/Mác </v>
      </c>
      <c r="W14" s="186" t="str">
        <f t="shared" si="33"/>
        <v xml:space="preserve">0/0/Mác </v>
      </c>
      <c r="X14" s="186" t="str">
        <f t="shared" si="34"/>
        <v xml:space="preserve">0/0/Mác </v>
      </c>
      <c r="Y14" s="186">
        <f t="shared" si="16"/>
        <v>0</v>
      </c>
      <c r="Z14" s="186">
        <f t="shared" si="17"/>
        <v>0</v>
      </c>
      <c r="AA14" s="186">
        <f t="shared" si="18"/>
        <v>0</v>
      </c>
      <c r="AB14" s="186">
        <f t="shared" si="19"/>
        <v>0</v>
      </c>
      <c r="AC14" s="186" t="str">
        <f t="shared" si="35"/>
        <v xml:space="preserve">Mác </v>
      </c>
    </row>
    <row r="15" spans="1:29" s="141" customFormat="1">
      <c r="A15" s="186">
        <v>14</v>
      </c>
      <c r="B15" s="186"/>
      <c r="C15" s="186" t="s">
        <v>1700</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c r="S15" s="186" t="s">
        <v>1111</v>
      </c>
      <c r="T15" s="165"/>
      <c r="U15" s="186" t="str">
        <f>"M"&amp;RIGHT('5.CBBT'!T15,4)</f>
        <v>Mác 0</v>
      </c>
      <c r="V15" s="186" t="str">
        <f t="shared" si="32"/>
        <v xml:space="preserve">0/0/Mác </v>
      </c>
      <c r="W15" s="186" t="str">
        <f t="shared" si="33"/>
        <v xml:space="preserve">0/0/Mác </v>
      </c>
      <c r="X15" s="186" t="str">
        <f t="shared" si="34"/>
        <v xml:space="preserve">0/0/Mác </v>
      </c>
      <c r="Y15" s="186">
        <f t="shared" si="16"/>
        <v>0</v>
      </c>
      <c r="Z15" s="186">
        <f t="shared" si="17"/>
        <v>0</v>
      </c>
      <c r="AA15" s="186">
        <f t="shared" si="18"/>
        <v>0</v>
      </c>
      <c r="AB15" s="186">
        <f t="shared" si="19"/>
        <v>0</v>
      </c>
      <c r="AC15" s="186" t="str">
        <f t="shared" si="35"/>
        <v xml:space="preserve">Mác </v>
      </c>
    </row>
    <row r="16" spans="1:29" s="141" customFormat="1">
      <c r="A16" s="186">
        <v>15</v>
      </c>
      <c r="B16" s="186"/>
      <c r="C16" s="186" t="s">
        <v>1701</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c r="S16" s="186" t="s">
        <v>1111</v>
      </c>
      <c r="T16" s="165"/>
      <c r="U16" s="186" t="str">
        <f>"M"&amp;RIGHT('5.CBBT'!T16,4)</f>
        <v>Mác 0</v>
      </c>
      <c r="V16" s="186" t="str">
        <f t="shared" si="32"/>
        <v xml:space="preserve">0/0/Mác </v>
      </c>
      <c r="W16" s="186" t="str">
        <f t="shared" si="33"/>
        <v xml:space="preserve">0/0/Mác </v>
      </c>
      <c r="X16" s="186" t="str">
        <f t="shared" si="34"/>
        <v xml:space="preserve">0/0/Mác </v>
      </c>
      <c r="Y16" s="186">
        <f t="shared" si="16"/>
        <v>0</v>
      </c>
      <c r="Z16" s="186">
        <f t="shared" si="17"/>
        <v>0</v>
      </c>
      <c r="AA16" s="186">
        <f t="shared" si="18"/>
        <v>0</v>
      </c>
      <c r="AB16" s="186">
        <f t="shared" si="19"/>
        <v>0</v>
      </c>
      <c r="AC16" s="186" t="str">
        <f t="shared" si="35"/>
        <v xml:space="preserve">Mác </v>
      </c>
    </row>
    <row r="17" spans="1:29" s="141" customFormat="1">
      <c r="A17" s="186">
        <v>16</v>
      </c>
      <c r="B17" s="186"/>
      <c r="C17" s="186" t="s">
        <v>1702</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c r="S17" s="186" t="s">
        <v>1111</v>
      </c>
      <c r="T17" s="165"/>
      <c r="U17" s="186" t="e">
        <f>"M"&amp;RIGHT('5.CBBT'!T17,4)</f>
        <v>#N/A</v>
      </c>
      <c r="V17" s="186" t="e">
        <f t="shared" si="32"/>
        <v>#N/A</v>
      </c>
      <c r="W17" s="186" t="e">
        <f t="shared" si="33"/>
        <v>#N/A</v>
      </c>
      <c r="X17" s="186" t="e">
        <f t="shared" si="34"/>
        <v>#N/A</v>
      </c>
      <c r="Y17" s="186" t="e">
        <f t="shared" si="16"/>
        <v>#N/A</v>
      </c>
      <c r="Z17" s="186" t="e">
        <f t="shared" si="17"/>
        <v>#N/A</v>
      </c>
      <c r="AA17" s="186" t="e">
        <f t="shared" si="18"/>
        <v>#N/A</v>
      </c>
      <c r="AB17" s="186" t="e">
        <f t="shared" si="19"/>
        <v>#N/A</v>
      </c>
      <c r="AC17" s="186" t="e">
        <f t="shared" si="35"/>
        <v>#N/A</v>
      </c>
    </row>
    <row r="18" spans="1:29">
      <c r="A18" s="186">
        <v>17</v>
      </c>
      <c r="B18" s="186"/>
      <c r="C18" s="186" t="s">
        <v>1703</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c r="S18" s="186" t="s">
        <v>1111</v>
      </c>
      <c r="U18" s="186" t="e">
        <f>"M"&amp;RIGHT('5.CBBT'!T18,4)</f>
        <v>#N/A</v>
      </c>
      <c r="V18" s="186" t="e">
        <f t="shared" si="32"/>
        <v>#N/A</v>
      </c>
      <c r="W18" s="186" t="e">
        <f t="shared" si="33"/>
        <v>#N/A</v>
      </c>
      <c r="X18" s="186" t="e">
        <f t="shared" si="34"/>
        <v>#N/A</v>
      </c>
      <c r="Y18" s="186" t="e">
        <f t="shared" si="16"/>
        <v>#N/A</v>
      </c>
      <c r="Z18" s="186" t="e">
        <f t="shared" si="17"/>
        <v>#N/A</v>
      </c>
      <c r="AA18" s="186" t="e">
        <f t="shared" si="18"/>
        <v>#N/A</v>
      </c>
      <c r="AB18" s="186" t="e">
        <f t="shared" si="19"/>
        <v>#N/A</v>
      </c>
      <c r="AC18" s="186" t="e">
        <f t="shared" si="35"/>
        <v>#N/A</v>
      </c>
    </row>
    <row r="19" spans="1:29">
      <c r="A19" s="186">
        <v>18</v>
      </c>
      <c r="B19" s="186"/>
      <c r="C19" s="186" t="s">
        <v>1704</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c r="S19" s="186" t="s">
        <v>1111</v>
      </c>
      <c r="U19" s="186" t="e">
        <f>"M"&amp;RIGHT('5.CBBT'!T19,4)</f>
        <v>#N/A</v>
      </c>
      <c r="V19" s="186" t="e">
        <f t="shared" si="32"/>
        <v>#N/A</v>
      </c>
      <c r="W19" s="186" t="e">
        <f t="shared" si="33"/>
        <v>#N/A</v>
      </c>
      <c r="X19" s="186" t="e">
        <f t="shared" si="34"/>
        <v>#N/A</v>
      </c>
      <c r="Y19" s="186" t="e">
        <f t="shared" si="16"/>
        <v>#N/A</v>
      </c>
      <c r="Z19" s="186" t="e">
        <f t="shared" si="17"/>
        <v>#N/A</v>
      </c>
      <c r="AA19" s="186" t="e">
        <f t="shared" si="18"/>
        <v>#N/A</v>
      </c>
      <c r="AB19" s="186" t="e">
        <f t="shared" si="19"/>
        <v>#N/A</v>
      </c>
      <c r="AC19" s="186" t="e">
        <f t="shared" si="35"/>
        <v>#N/A</v>
      </c>
    </row>
    <row r="20" spans="1:29" s="186" customFormat="1">
      <c r="A20" s="186">
        <v>19</v>
      </c>
      <c r="C20" s="186" t="s">
        <v>1705</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c r="S20" s="186" t="s">
        <v>1111</v>
      </c>
      <c r="T20" s="165"/>
      <c r="U20" s="186" t="e">
        <f>"M"&amp;RIGHT('5.CBBT'!T20,4)</f>
        <v>#N/A</v>
      </c>
      <c r="V20" s="186" t="e">
        <f t="shared" si="32"/>
        <v>#N/A</v>
      </c>
      <c r="W20" s="186" t="e">
        <f t="shared" si="33"/>
        <v>#N/A</v>
      </c>
      <c r="X20" s="186" t="e">
        <f t="shared" si="34"/>
        <v>#N/A</v>
      </c>
      <c r="Y20" s="186" t="e">
        <f t="shared" si="16"/>
        <v>#N/A</v>
      </c>
      <c r="Z20" s="186" t="e">
        <f t="shared" si="17"/>
        <v>#N/A</v>
      </c>
      <c r="AA20" s="186" t="e">
        <f t="shared" si="18"/>
        <v>#N/A</v>
      </c>
      <c r="AB20" s="186" t="e">
        <f t="shared" si="19"/>
        <v>#N/A</v>
      </c>
      <c r="AC20" s="186" t="e">
        <f t="shared" si="35"/>
        <v>#N/A</v>
      </c>
    </row>
    <row r="21" spans="1:29">
      <c r="G21" s="154"/>
      <c r="K21" s="142"/>
      <c r="P21" s="142"/>
      <c r="R21" s="186"/>
      <c r="S21" s="186"/>
      <c r="T21" s="186"/>
      <c r="U21" s="186"/>
      <c r="V21" s="186"/>
      <c r="W21" s="186"/>
      <c r="X21" s="186"/>
      <c r="Y21" s="186"/>
      <c r="Z21" s="186"/>
      <c r="AA21" s="186"/>
      <c r="AB21" s="186"/>
      <c r="AC21" s="186"/>
    </row>
    <row r="22" spans="1:29">
      <c r="G22" s="154"/>
      <c r="K22" s="142"/>
      <c r="P22" s="142"/>
    </row>
    <row r="23" spans="1:29">
      <c r="G23" s="154"/>
      <c r="K23" s="142"/>
      <c r="P23" s="142"/>
    </row>
    <row r="24" spans="1:29">
      <c r="G24" s="154"/>
      <c r="K24" s="142"/>
      <c r="P24" s="142"/>
    </row>
    <row r="25" spans="1:29">
      <c r="K25" s="142"/>
      <c r="P25" s="142"/>
    </row>
    <row r="26" spans="1:29">
      <c r="K26" s="142"/>
      <c r="P26" s="142"/>
    </row>
    <row r="27" spans="1:29">
      <c r="K27" s="142"/>
      <c r="P27" s="142"/>
    </row>
    <row r="28" spans="1:29">
      <c r="E28" s="139"/>
      <c r="G28" s="139"/>
      <c r="H28" s="139"/>
      <c r="J28" s="141"/>
      <c r="K28" s="142"/>
      <c r="M28" s="141"/>
      <c r="O28" s="141"/>
      <c r="P28" s="142"/>
    </row>
    <row r="29" spans="1:29">
      <c r="K29" s="142"/>
      <c r="P29" s="142"/>
    </row>
    <row r="30" spans="1:29">
      <c r="K30" s="142"/>
      <c r="P30" s="142"/>
    </row>
    <row r="31" spans="1:29">
      <c r="K31" s="142"/>
      <c r="P31" s="142"/>
    </row>
    <row r="32" spans="1:29">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R1551"/>
  <sheetViews>
    <sheetView zoomScale="85" zoomScaleNormal="85" workbookViewId="0">
      <pane xSplit="4" ySplit="1" topLeftCell="E2" activePane="bottomRight" state="frozen"/>
      <selection activeCell="AN16" sqref="AN16"/>
      <selection pane="topRight" activeCell="AN16" sqref="AN16"/>
      <selection pane="bottomLeft" activeCell="AN16" sqref="AN16"/>
      <selection pane="bottomRight" activeCell="AN16" sqref="AN16"/>
    </sheetView>
  </sheetViews>
  <sheetFormatPr defaultRowHeight="15.75"/>
  <cols>
    <col min="1" max="1" width="5.5" style="186" customWidth="1"/>
    <col min="2" max="2" width="11" style="186" hidden="1" customWidth="1"/>
    <col min="3" max="3" width="11.625" style="186" bestFit="1" customWidth="1"/>
    <col min="4" max="4" width="64.75" style="141" customWidth="1"/>
    <col min="5" max="5" width="27.125" style="141" bestFit="1" customWidth="1"/>
    <col min="6" max="6" width="22.5" style="141" customWidth="1"/>
    <col min="7" max="8" width="21.75" style="141" customWidth="1"/>
    <col min="9" max="9" width="10.375" style="186" customWidth="1"/>
    <col min="10" max="10" width="11.875" style="186" bestFit="1" customWidth="1"/>
    <col min="11" max="11" width="10.375" style="186" bestFit="1" customWidth="1"/>
    <col min="12" max="12" width="9.25" style="186" bestFit="1" customWidth="1"/>
    <col min="13" max="13" width="8.75" style="186" bestFit="1" customWidth="1"/>
    <col min="14" max="14" width="11.125" style="186" bestFit="1" customWidth="1"/>
    <col min="15" max="15" width="13.5" style="186" bestFit="1" customWidth="1"/>
    <col min="16" max="16" width="10.75" style="186" bestFit="1" customWidth="1"/>
    <col min="17" max="17" width="19" style="186" bestFit="1" customWidth="1"/>
    <col min="18" max="18" width="11.125" style="186" bestFit="1" customWidth="1"/>
    <col min="19" max="16384" width="9" style="186"/>
  </cols>
  <sheetData>
    <row r="1" spans="1:18"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8" ht="33" customHeight="1" thickTop="1">
      <c r="A2" s="186">
        <v>1</v>
      </c>
      <c r="C2" s="186" t="s">
        <v>1524</v>
      </c>
      <c r="D2" s="140" t="str">
        <f t="shared" ref="D2:D20" si="0">VLOOKUP($C2,TUANBV,2,0)</f>
        <v>Nghiệm thu công tác tháo ván khuôn bê tông lót móng</v>
      </c>
      <c r="E2" s="141" t="str">
        <f t="shared" ref="E2:E20" si="1">VLOOKUP($C2,TUANBV,3,0)</f>
        <v>Nhà tiểu học 3 phòng</v>
      </c>
      <c r="F2" s="141" t="str">
        <f t="shared" ref="F2:F20" si="2">VLOOKUP($C2,TUANBV,4,0)</f>
        <v>Điểm TĐC Pom Chốn</v>
      </c>
      <c r="G2" s="141" t="str">
        <f t="shared" ref="G2:G20" si="3">VLOOKUP($C2,TUANBV,5,0)</f>
        <v>2/TVKTH3PC</v>
      </c>
      <c r="H2" s="141" t="str">
        <f t="shared" ref="H2:H20" si="4">VLOOKUP($C2,TUANBV,6,0)</f>
        <v>2/TVKTH3PC</v>
      </c>
      <c r="I2" s="141" t="str">
        <f t="shared" ref="I2:I20" si="5">VLOOKUP($C2,TUANBV,7,0)</f>
        <v>21</v>
      </c>
      <c r="J2" s="141" t="str">
        <f t="shared" ref="J2:J20" si="6">VLOOKUP($C2,TUANBV,8,0)</f>
        <v>08</v>
      </c>
      <c r="K2" s="142">
        <f t="shared" ref="K2:K20" si="7">VLOOKUP($C2,TUANBV,9,0)</f>
        <v>41872</v>
      </c>
      <c r="L2" s="141" t="str">
        <f t="shared" ref="L2:L20" si="8">VLOOKUP($C2,TUANBV,10,0)</f>
        <v>08 giờ 00</v>
      </c>
      <c r="M2" s="141" t="str">
        <f t="shared" ref="M2:M20" si="9">VLOOKUP($C2,TUANBV,11,0)</f>
        <v>09 giờ 00</v>
      </c>
      <c r="N2" s="141" t="str">
        <f t="shared" ref="N2:N20" si="10">VLOOKUP($C2,TUANBV,12,0)</f>
        <v>22</v>
      </c>
      <c r="O2" s="141" t="str">
        <f t="shared" ref="O2:O20" si="11">VLOOKUP($C2,TUANBV,13,0)</f>
        <v>08</v>
      </c>
      <c r="P2" s="142">
        <f t="shared" ref="P2:P20" si="12">VLOOKUP($C2,TUANBV,14,0)</f>
        <v>41873</v>
      </c>
      <c r="Q2" s="141" t="str">
        <f t="shared" ref="Q2:Q20" si="13">VLOOKUP($C2,TUANBV,15,0)</f>
        <v>Nguyễn Xuân Quỳnh</v>
      </c>
      <c r="R2" s="141" t="str">
        <f t="shared" ref="R2:R20" si="14">VLOOKUP($C2,TUANBV,16,0)</f>
        <v>Lê Văn Thái</v>
      </c>
    </row>
    <row r="3" spans="1:18">
      <c r="A3" s="186">
        <v>2</v>
      </c>
      <c r="C3" s="186" t="s">
        <v>1537</v>
      </c>
      <c r="D3" s="140" t="str">
        <f t="shared" si="0"/>
        <v>Nghiệm thu bê tông giằng móng sau khi tháo ván khuôn</v>
      </c>
      <c r="E3" s="141" t="str">
        <f t="shared" si="1"/>
        <v>Nhà tiểu học 3 phòng</v>
      </c>
      <c r="F3" s="141" t="str">
        <f t="shared" si="2"/>
        <v>Điểm TĐC Pom Chốn</v>
      </c>
      <c r="G3" s="141" t="str">
        <f t="shared" si="3"/>
        <v>4/TVKTH3PC</v>
      </c>
      <c r="H3" s="141" t="str">
        <f t="shared" si="4"/>
        <v>4/TVKTH3PC</v>
      </c>
      <c r="I3" s="141" t="str">
        <f t="shared" si="5"/>
        <v>29</v>
      </c>
      <c r="J3" s="141" t="str">
        <f t="shared" si="6"/>
        <v>08</v>
      </c>
      <c r="K3" s="142">
        <f t="shared" si="7"/>
        <v>41880</v>
      </c>
      <c r="L3" s="141" t="str">
        <f t="shared" si="8"/>
        <v>08 giờ 00</v>
      </c>
      <c r="M3" s="141" t="str">
        <f t="shared" si="9"/>
        <v>09 giờ 00</v>
      </c>
      <c r="N3" s="141" t="str">
        <f t="shared" si="10"/>
        <v>30</v>
      </c>
      <c r="O3" s="141" t="str">
        <f t="shared" si="11"/>
        <v>08</v>
      </c>
      <c r="P3" s="142">
        <f t="shared" si="12"/>
        <v>41881</v>
      </c>
      <c r="Q3" s="141" t="str">
        <f t="shared" si="13"/>
        <v>Nguyễn Xuân Quỳnh</v>
      </c>
      <c r="R3" s="141" t="str">
        <f t="shared" si="14"/>
        <v>Lê Văn Thái</v>
      </c>
    </row>
    <row r="4" spans="1:18">
      <c r="A4" s="186">
        <v>3</v>
      </c>
      <c r="C4" s="186" t="s">
        <v>1525</v>
      </c>
      <c r="D4" s="140" t="e">
        <f t="shared" si="0"/>
        <v>#N/A</v>
      </c>
      <c r="E4" s="141" t="e">
        <f t="shared" si="1"/>
        <v>#N/A</v>
      </c>
      <c r="F4" s="141" t="e">
        <f t="shared" si="2"/>
        <v>#N/A</v>
      </c>
      <c r="G4" s="141" t="e">
        <f t="shared" si="3"/>
        <v>#N/A</v>
      </c>
      <c r="H4" s="141" t="e">
        <f t="shared" si="4"/>
        <v>#N/A</v>
      </c>
      <c r="I4" s="141" t="e">
        <f t="shared" si="5"/>
        <v>#N/A</v>
      </c>
      <c r="J4" s="141" t="e">
        <f t="shared" si="6"/>
        <v>#N/A</v>
      </c>
      <c r="K4" s="142" t="e">
        <f t="shared" si="7"/>
        <v>#N/A</v>
      </c>
      <c r="L4" s="141" t="e">
        <f t="shared" si="8"/>
        <v>#N/A</v>
      </c>
      <c r="M4" s="141" t="e">
        <f t="shared" si="9"/>
        <v>#N/A</v>
      </c>
      <c r="N4" s="141" t="e">
        <f t="shared" si="10"/>
        <v>#N/A</v>
      </c>
      <c r="O4" s="141" t="e">
        <f t="shared" si="11"/>
        <v>#N/A</v>
      </c>
      <c r="P4" s="142" t="e">
        <f t="shared" si="12"/>
        <v>#N/A</v>
      </c>
      <c r="Q4" s="141" t="e">
        <f t="shared" si="13"/>
        <v>#N/A</v>
      </c>
      <c r="R4" s="141" t="e">
        <f t="shared" si="14"/>
        <v>#N/A</v>
      </c>
    </row>
    <row r="5" spans="1:18" ht="31.5">
      <c r="A5" s="186">
        <v>4</v>
      </c>
      <c r="C5" s="186" t="s">
        <v>1526</v>
      </c>
      <c r="D5" s="140" t="str">
        <f t="shared" si="0"/>
        <v>Tháo ván khuôn bê tông dầm D1, D2, D3, D4, D4A, D4B, bê tông sàn, sê nô thu nước</v>
      </c>
      <c r="E5" s="141" t="str">
        <f t="shared" si="1"/>
        <v>Nhà tiểu học 3 phòng</v>
      </c>
      <c r="F5" s="141" t="str">
        <f t="shared" si="2"/>
        <v>Điểm TĐC Pom Chốn</v>
      </c>
      <c r="G5" s="141" t="str">
        <f t="shared" si="3"/>
        <v>8/TVKTH3PC</v>
      </c>
      <c r="H5" s="141" t="str">
        <f t="shared" si="4"/>
        <v>8/TVKTH3PC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row>
    <row r="6" spans="1:18" ht="31.5">
      <c r="A6" s="186">
        <v>5</v>
      </c>
      <c r="C6" s="186" t="s">
        <v>1538</v>
      </c>
      <c r="D6" s="140" t="str">
        <f t="shared" si="0"/>
        <v>Nghiệm thu tháo ván khuôn bê tông giằng tường thu hồi</v>
      </c>
      <c r="E6" s="141" t="str">
        <f t="shared" si="1"/>
        <v>Nhà tiểu học 3 phòng</v>
      </c>
      <c r="F6" s="141" t="str">
        <f t="shared" si="2"/>
        <v>Điểm TĐC Pom Chốn</v>
      </c>
      <c r="G6" s="141" t="str">
        <f t="shared" si="3"/>
        <v>10/TVKTH3PC</v>
      </c>
      <c r="H6" s="141" t="str">
        <f t="shared" si="4"/>
        <v>10/TVKTH3PC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row>
    <row r="7" spans="1:18" ht="31.5">
      <c r="A7" s="186">
        <v>6</v>
      </c>
      <c r="C7" s="186" t="s">
        <v>1527</v>
      </c>
      <c r="D7" s="140" t="str">
        <f t="shared" si="0"/>
        <v>Nghiệm thu tháo ván khuôn bê tông Lam trang trí</v>
      </c>
      <c r="E7" s="141" t="str">
        <f t="shared" si="1"/>
        <v>Nhà tiểu học 3 phòng</v>
      </c>
      <c r="F7" s="141" t="str">
        <f t="shared" si="2"/>
        <v>Điểm TĐC Pom Chốn</v>
      </c>
      <c r="G7" s="141" t="str">
        <f t="shared" si="3"/>
        <v>11/TVKTH3PC</v>
      </c>
      <c r="H7" s="141" t="str">
        <f t="shared" si="4"/>
        <v>11/TVKTH3PC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row>
    <row r="8" spans="1:18">
      <c r="A8" s="186">
        <v>7</v>
      </c>
      <c r="C8" s="186" t="s">
        <v>1528</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row>
    <row r="9" spans="1:18">
      <c r="A9" s="186">
        <v>8</v>
      </c>
      <c r="C9" s="186" t="s">
        <v>1534</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row>
    <row r="10" spans="1:18">
      <c r="A10" s="186">
        <v>9</v>
      </c>
      <c r="C10" s="186" t="s">
        <v>1706</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row>
    <row r="11" spans="1:18" s="141" customFormat="1">
      <c r="A11" s="186">
        <v>10</v>
      </c>
      <c r="B11" s="186"/>
      <c r="C11" s="186" t="s">
        <v>1707</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row>
    <row r="12" spans="1:18" s="141" customFormat="1">
      <c r="A12" s="186">
        <v>11</v>
      </c>
      <c r="B12" s="186"/>
      <c r="C12" s="186" t="s">
        <v>1708</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row>
    <row r="13" spans="1:18" s="141" customFormat="1">
      <c r="A13" s="186">
        <v>12</v>
      </c>
      <c r="B13" s="186"/>
      <c r="C13" s="186" t="s">
        <v>1709</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row>
    <row r="14" spans="1:18" s="141" customFormat="1">
      <c r="A14" s="186">
        <v>13</v>
      </c>
      <c r="B14" s="186"/>
      <c r="C14" s="186" t="s">
        <v>1710</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row>
    <row r="15" spans="1:18" s="141" customFormat="1">
      <c r="A15" s="186">
        <v>14</v>
      </c>
      <c r="B15" s="186"/>
      <c r="C15" s="186" t="s">
        <v>1711</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row>
    <row r="16" spans="1:18" s="141" customFormat="1">
      <c r="A16" s="186">
        <v>15</v>
      </c>
      <c r="B16" s="186"/>
      <c r="C16" s="186" t="s">
        <v>1712</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row>
    <row r="17" spans="1:18" s="141" customFormat="1">
      <c r="A17" s="186">
        <v>16</v>
      </c>
      <c r="B17" s="186"/>
      <c r="C17" s="186" t="s">
        <v>1713</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row>
    <row r="18" spans="1:18">
      <c r="A18" s="186">
        <v>17</v>
      </c>
      <c r="C18" s="186" t="s">
        <v>1714</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row>
    <row r="19" spans="1:18">
      <c r="A19" s="186">
        <v>18</v>
      </c>
      <c r="C19" s="186" t="s">
        <v>1715</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row>
    <row r="20" spans="1:18">
      <c r="A20" s="186">
        <v>19</v>
      </c>
      <c r="C20" s="186" t="s">
        <v>1716</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row>
    <row r="21" spans="1:18">
      <c r="G21" s="154"/>
      <c r="K21" s="142"/>
      <c r="P21" s="142"/>
    </row>
    <row r="22" spans="1:18">
      <c r="G22" s="154"/>
      <c r="K22" s="142"/>
      <c r="P22" s="142"/>
    </row>
    <row r="23" spans="1:18" ht="63">
      <c r="D23" s="140" t="s">
        <v>1381</v>
      </c>
      <c r="G23" s="154"/>
      <c r="K23" s="142"/>
      <c r="P23" s="142"/>
    </row>
    <row r="24" spans="1:18" ht="47.25">
      <c r="D24" s="140" t="s">
        <v>1378</v>
      </c>
      <c r="G24" s="154"/>
      <c r="K24" s="142"/>
      <c r="P24" s="142"/>
    </row>
    <row r="25" spans="1:18" ht="47.25">
      <c r="D25" s="140" t="s">
        <v>1380</v>
      </c>
      <c r="K25" s="142"/>
      <c r="P25" s="142"/>
    </row>
    <row r="26" spans="1:18" ht="31.5">
      <c r="D26" s="140" t="s">
        <v>1379</v>
      </c>
      <c r="K26" s="142"/>
      <c r="P26" s="142"/>
    </row>
    <row r="27" spans="1:18">
      <c r="K27" s="142"/>
      <c r="P27" s="142"/>
    </row>
    <row r="28" spans="1:18">
      <c r="E28" s="186"/>
      <c r="G28" s="186"/>
      <c r="H28" s="186"/>
      <c r="J28" s="141"/>
      <c r="K28" s="142"/>
      <c r="M28" s="141"/>
      <c r="O28" s="141"/>
      <c r="P28" s="142"/>
    </row>
    <row r="29" spans="1:18">
      <c r="K29" s="142"/>
      <c r="P29" s="142"/>
    </row>
    <row r="30" spans="1:18">
      <c r="K30" s="142"/>
      <c r="P30" s="142"/>
    </row>
    <row r="31" spans="1:18">
      <c r="K31" s="142"/>
      <c r="P31" s="142"/>
    </row>
    <row r="32" spans="1:18">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86"/>
      <c r="G865" s="186"/>
      <c r="H865" s="186"/>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1551"/>
  <sheetViews>
    <sheetView zoomScale="85" zoomScaleNormal="85" workbookViewId="0">
      <pane xSplit="4" ySplit="1" topLeftCell="J2" activePane="bottomRight" state="frozen"/>
      <selection activeCell="AN16" sqref="AN16"/>
      <selection pane="topRight" activeCell="AN16" sqref="AN16"/>
      <selection pane="bottomLeft" activeCell="AN16" sqref="AN16"/>
      <selection pane="bottomRight" activeCell="AN16" sqref="AN16"/>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4.875" style="14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9" width="0.75" style="172" customWidth="1"/>
    <col min="20" max="16384" width="9" style="139"/>
  </cols>
  <sheetData>
    <row r="1" spans="1:19"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9" ht="16.5" thickTop="1">
      <c r="A2" s="139">
        <v>1</v>
      </c>
      <c r="C2" s="139" t="s">
        <v>1601</v>
      </c>
      <c r="D2" s="140" t="str">
        <f t="shared" ref="D2:D20" si="0">VLOOKUP($C2,TUANBV,2,0)</f>
        <v>Nghiệm thu bê tông lót móng</v>
      </c>
      <c r="E2" s="141" t="str">
        <f t="shared" ref="E2:E20" si="1">VLOOKUP($C2,TUANBV,3,0)</f>
        <v>Nhà tiểu học 3 phòng</v>
      </c>
      <c r="F2" s="141" t="str">
        <f t="shared" ref="F2:F20" si="2">VLOOKUP($C2,TUANBV,4,0)</f>
        <v>Điểm TĐC Pom Chốn</v>
      </c>
      <c r="G2" s="141" t="str">
        <f t="shared" ref="G2:G20" si="3">VLOOKUP($C2,TUANBV,5,0)</f>
        <v>2/BTTH3PC</v>
      </c>
      <c r="H2" s="141" t="str">
        <f t="shared" ref="H2:H20" si="4">VLOOKUP($C2,TUANBV,6,0)</f>
        <v>2/BTTH3PC</v>
      </c>
      <c r="I2" s="141" t="str">
        <f t="shared" ref="I2:I20" si="5">VLOOKUP($C2,TUANBV,7,0)</f>
        <v>15</v>
      </c>
      <c r="J2" s="141" t="str">
        <f t="shared" ref="J2:J20" si="6">VLOOKUP($C2,TUANBV,8,0)</f>
        <v>09</v>
      </c>
      <c r="K2" s="142">
        <f t="shared" ref="K2:K20" si="7">VLOOKUP($C2,TUANBV,9,0)</f>
        <v>41897</v>
      </c>
      <c r="L2" s="141" t="str">
        <f t="shared" ref="L2:L20" si="8">VLOOKUP($C2,TUANBV,10,0)</f>
        <v>08 giờ 00</v>
      </c>
      <c r="M2" s="141" t="str">
        <f t="shared" ref="M2:M20" si="9">VLOOKUP($C2,TUANBV,11,0)</f>
        <v>09 giờ 00</v>
      </c>
      <c r="N2" s="141" t="str">
        <f t="shared" ref="N2:N20" si="10">VLOOKUP($C2,TUANBV,12,0)</f>
        <v>16</v>
      </c>
      <c r="O2" s="141" t="str">
        <f t="shared" ref="O2:O20" si="11">VLOOKUP($C2,TUANBV,13,0)</f>
        <v>09</v>
      </c>
      <c r="P2" s="142">
        <f t="shared" ref="P2:P20" si="12">VLOOKUP($C2,TUANBV,14,0)</f>
        <v>41898</v>
      </c>
      <c r="Q2" s="141" t="str">
        <f t="shared" ref="Q2:Q20" si="13">VLOOKUP($C2,TUANBV,15,0)</f>
        <v>Nguyễn Xuân Quỳnh</v>
      </c>
      <c r="R2" s="141" t="str">
        <f t="shared" ref="R2:R20" si="14">VLOOKUP($C2,TUANBV,16,0)</f>
        <v>Lê Văn Thái</v>
      </c>
    </row>
    <row r="3" spans="1:19">
      <c r="A3" s="139">
        <v>2</v>
      </c>
      <c r="C3" s="186" t="s">
        <v>1602</v>
      </c>
      <c r="D3" s="140" t="str">
        <f t="shared" si="0"/>
        <v>Nghiệm thu bê tông giằng móng</v>
      </c>
      <c r="E3" s="141" t="str">
        <f t="shared" si="1"/>
        <v>Nhà tiểu học 3 phòng</v>
      </c>
      <c r="F3" s="141" t="str">
        <f t="shared" si="2"/>
        <v>Điểm TĐC Pom Chốn</v>
      </c>
      <c r="G3" s="141" t="str">
        <f t="shared" si="3"/>
        <v>4/BTTH3PC</v>
      </c>
      <c r="H3" s="141" t="str">
        <f t="shared" si="4"/>
        <v>4/BTTH3PC</v>
      </c>
      <c r="I3" s="141" t="str">
        <f t="shared" si="5"/>
        <v>23</v>
      </c>
      <c r="J3" s="141" t="str">
        <f t="shared" si="6"/>
        <v>09</v>
      </c>
      <c r="K3" s="142">
        <f t="shared" si="7"/>
        <v>41905</v>
      </c>
      <c r="L3" s="141" t="str">
        <f t="shared" si="8"/>
        <v>08 giờ 00</v>
      </c>
      <c r="M3" s="141" t="str">
        <f t="shared" si="9"/>
        <v>09 giờ 00</v>
      </c>
      <c r="N3" s="141" t="str">
        <f t="shared" si="10"/>
        <v>24</v>
      </c>
      <c r="O3" s="141" t="str">
        <f t="shared" si="11"/>
        <v>09</v>
      </c>
      <c r="P3" s="142">
        <f t="shared" si="12"/>
        <v>41906</v>
      </c>
      <c r="Q3" s="141" t="str">
        <f t="shared" si="13"/>
        <v>Nguyễn Xuân Quỳnh</v>
      </c>
      <c r="R3" s="141" t="str">
        <f t="shared" si="14"/>
        <v>Lê Văn Thái</v>
      </c>
    </row>
    <row r="4" spans="1:19" ht="31.5">
      <c r="A4" s="139">
        <v>3</v>
      </c>
      <c r="C4" s="186" t="s">
        <v>1605</v>
      </c>
      <c r="D4" s="140" t="str">
        <f t="shared" si="0"/>
        <v>Nghiệm thu bê tông lanh tô cửa sổ và cửa đi</v>
      </c>
      <c r="E4" s="141" t="str">
        <f t="shared" si="1"/>
        <v>Nhà tiểu học 3 phòng</v>
      </c>
      <c r="F4" s="141" t="str">
        <f t="shared" si="2"/>
        <v>Điểm TĐC Pom Chốn</v>
      </c>
      <c r="G4" s="141" t="str">
        <f t="shared" si="3"/>
        <v>6/BTTH3PC</v>
      </c>
      <c r="H4" s="141" t="str">
        <f t="shared" si="4"/>
        <v>6/BTTH3PC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row>
    <row r="5" spans="1:19" ht="31.5">
      <c r="A5" s="186">
        <v>4</v>
      </c>
      <c r="C5" s="186" t="s">
        <v>1606</v>
      </c>
      <c r="D5" s="140" t="str">
        <f t="shared" si="0"/>
        <v>Nghiệm thu bê tông  dầm D1, D2, D3, D4, D4A, D4B, bê tông sàn, sê nô thu nước</v>
      </c>
      <c r="E5" s="141" t="str">
        <f t="shared" si="1"/>
        <v>Nhà tiểu học 3 phòng</v>
      </c>
      <c r="F5" s="141" t="str">
        <f t="shared" si="2"/>
        <v>Điểm TĐC Pom Chốn</v>
      </c>
      <c r="G5" s="141" t="str">
        <f t="shared" si="3"/>
        <v>8/BTTH3PC</v>
      </c>
      <c r="H5" s="141" t="str">
        <f t="shared" si="4"/>
        <v>8/BTTH3PC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row>
    <row r="6" spans="1:19" ht="31.5">
      <c r="A6" s="186">
        <v>5</v>
      </c>
      <c r="C6" s="186" t="s">
        <v>1607</v>
      </c>
      <c r="D6" s="140" t="str">
        <f t="shared" si="0"/>
        <v>Nghiệm thu bê tông giằng tường thu hồi</v>
      </c>
      <c r="E6" s="141" t="str">
        <f t="shared" si="1"/>
        <v>Nhà tiểu học 3 phòng</v>
      </c>
      <c r="F6" s="141" t="str">
        <f t="shared" si="2"/>
        <v>Điểm TĐC Pom Chốn</v>
      </c>
      <c r="G6" s="141" t="str">
        <f t="shared" si="3"/>
        <v>10/BTTH3PC</v>
      </c>
      <c r="H6" s="141" t="str">
        <f t="shared" si="4"/>
        <v>10/BTTH3PC</v>
      </c>
      <c r="I6" s="141" t="str">
        <f t="shared" si="5"/>
        <v>…..</v>
      </c>
      <c r="J6" s="141" t="str">
        <f t="shared" si="6"/>
        <v>…..</v>
      </c>
      <c r="K6" s="142">
        <f t="shared" si="7"/>
        <v>-1</v>
      </c>
      <c r="L6" s="141" t="str">
        <f t="shared" si="8"/>
        <v>…..giờ…..</v>
      </c>
      <c r="M6" s="141" t="str">
        <f t="shared" si="9"/>
        <v>…..giờ…..</v>
      </c>
      <c r="N6" s="141" t="str">
        <f t="shared" si="10"/>
        <v>…..</v>
      </c>
      <c r="O6" s="141" t="str">
        <f t="shared" si="11"/>
        <v>…..</v>
      </c>
      <c r="P6" s="142">
        <f t="shared" si="12"/>
        <v>0</v>
      </c>
      <c r="Q6" s="141" t="str">
        <f t="shared" si="13"/>
        <v>..........................................</v>
      </c>
      <c r="R6" s="141" t="str">
        <f t="shared" si="14"/>
        <v>Lê Văn Thái</v>
      </c>
    </row>
    <row r="7" spans="1:19" ht="31.5">
      <c r="A7" s="186">
        <v>6</v>
      </c>
      <c r="C7" s="186" t="s">
        <v>1608</v>
      </c>
      <c r="D7" s="140" t="str">
        <f t="shared" si="0"/>
        <v>Nghiệm thu bê tông Lam trang trí</v>
      </c>
      <c r="E7" s="141" t="str">
        <f t="shared" si="1"/>
        <v>Nhà tiểu học 3 phòng</v>
      </c>
      <c r="F7" s="141" t="str">
        <f t="shared" si="2"/>
        <v>Điểm TĐC Pom Chốn</v>
      </c>
      <c r="G7" s="141" t="str">
        <f t="shared" si="3"/>
        <v>11/BTTH3PC</v>
      </c>
      <c r="H7" s="141" t="str">
        <f t="shared" si="4"/>
        <v>11/BTTH3PC</v>
      </c>
      <c r="I7" s="141" t="str">
        <f t="shared" si="5"/>
        <v>…..</v>
      </c>
      <c r="J7" s="141" t="str">
        <f t="shared" si="6"/>
        <v>…..</v>
      </c>
      <c r="K7" s="142">
        <f t="shared" si="7"/>
        <v>-1</v>
      </c>
      <c r="L7" s="141" t="str">
        <f t="shared" si="8"/>
        <v>…..giờ…..</v>
      </c>
      <c r="M7" s="141" t="str">
        <f t="shared" si="9"/>
        <v>…..giờ…..</v>
      </c>
      <c r="N7" s="141" t="str">
        <f t="shared" si="10"/>
        <v>…..</v>
      </c>
      <c r="O7" s="141" t="str">
        <f t="shared" si="11"/>
        <v>…..</v>
      </c>
      <c r="P7" s="142">
        <f t="shared" si="12"/>
        <v>0</v>
      </c>
      <c r="Q7" s="141" t="str">
        <f t="shared" si="13"/>
        <v>..........................................</v>
      </c>
      <c r="R7" s="141" t="str">
        <f t="shared" si="14"/>
        <v>Lê Văn Thái</v>
      </c>
    </row>
    <row r="8" spans="1:19">
      <c r="A8" s="186">
        <v>7</v>
      </c>
      <c r="C8" s="186" t="s">
        <v>1609</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row>
    <row r="9" spans="1:19">
      <c r="A9" s="186">
        <v>8</v>
      </c>
      <c r="C9" s="186" t="s">
        <v>1610</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row>
    <row r="10" spans="1:19">
      <c r="A10" s="186">
        <v>9</v>
      </c>
      <c r="B10" s="186"/>
      <c r="C10" s="186" t="s">
        <v>1717</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row>
    <row r="11" spans="1:19" s="141" customFormat="1">
      <c r="A11" s="186">
        <v>10</v>
      </c>
      <c r="B11" s="186"/>
      <c r="C11" s="186" t="s">
        <v>1718</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73"/>
    </row>
    <row r="12" spans="1:19" s="141" customFormat="1">
      <c r="A12" s="186">
        <v>11</v>
      </c>
      <c r="B12" s="186"/>
      <c r="C12" s="186" t="s">
        <v>1719</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c r="S12" s="173"/>
    </row>
    <row r="13" spans="1:19" s="141" customFormat="1">
      <c r="A13" s="186">
        <v>12</v>
      </c>
      <c r="B13" s="186"/>
      <c r="C13" s="186" t="s">
        <v>1720</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c r="S13" s="173"/>
    </row>
    <row r="14" spans="1:19" s="141" customFormat="1">
      <c r="A14" s="186">
        <v>13</v>
      </c>
      <c r="B14" s="186"/>
      <c r="C14" s="186" t="s">
        <v>1721</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c r="S14" s="173"/>
    </row>
    <row r="15" spans="1:19" s="141" customFormat="1">
      <c r="A15" s="186">
        <v>14</v>
      </c>
      <c r="B15" s="186"/>
      <c r="C15" s="186" t="s">
        <v>1722</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c r="S15" s="173"/>
    </row>
    <row r="16" spans="1:19" s="141" customFormat="1">
      <c r="A16" s="186">
        <v>15</v>
      </c>
      <c r="B16" s="186"/>
      <c r="C16" s="186" t="s">
        <v>1723</v>
      </c>
      <c r="D16" s="140" t="e">
        <f t="shared" si="0"/>
        <v>#N/A</v>
      </c>
      <c r="E16" s="141" t="e">
        <f t="shared" si="1"/>
        <v>#N/A</v>
      </c>
      <c r="F16" s="141" t="e">
        <f t="shared" si="2"/>
        <v>#N/A</v>
      </c>
      <c r="G16" s="141" t="e">
        <f t="shared" si="3"/>
        <v>#N/A</v>
      </c>
      <c r="H16" s="141" t="e">
        <f t="shared" si="4"/>
        <v>#N/A</v>
      </c>
      <c r="I16" s="141" t="e">
        <f t="shared" si="5"/>
        <v>#N/A</v>
      </c>
      <c r="J16" s="141" t="e">
        <f t="shared" si="6"/>
        <v>#N/A</v>
      </c>
      <c r="K16" s="142" t="e">
        <f t="shared" si="7"/>
        <v>#N/A</v>
      </c>
      <c r="L16" s="141" t="e">
        <f t="shared" si="8"/>
        <v>#N/A</v>
      </c>
      <c r="M16" s="141" t="e">
        <f t="shared" si="9"/>
        <v>#N/A</v>
      </c>
      <c r="N16" s="141" t="e">
        <f t="shared" si="10"/>
        <v>#N/A</v>
      </c>
      <c r="O16" s="141" t="e">
        <f t="shared" si="11"/>
        <v>#N/A</v>
      </c>
      <c r="P16" s="142" t="e">
        <f t="shared" si="12"/>
        <v>#N/A</v>
      </c>
      <c r="Q16" s="141" t="e">
        <f t="shared" si="13"/>
        <v>#N/A</v>
      </c>
      <c r="R16" s="141" t="e">
        <f t="shared" si="14"/>
        <v>#N/A</v>
      </c>
      <c r="S16" s="173"/>
    </row>
    <row r="17" spans="1:19" s="141" customFormat="1">
      <c r="A17" s="186">
        <v>16</v>
      </c>
      <c r="B17" s="186"/>
      <c r="C17" s="186" t="s">
        <v>1724</v>
      </c>
      <c r="D17" s="140" t="e">
        <f t="shared" si="0"/>
        <v>#N/A</v>
      </c>
      <c r="E17" s="141" t="e">
        <f t="shared" si="1"/>
        <v>#N/A</v>
      </c>
      <c r="F17" s="141" t="e">
        <f t="shared" si="2"/>
        <v>#N/A</v>
      </c>
      <c r="G17" s="141" t="e">
        <f t="shared" si="3"/>
        <v>#N/A</v>
      </c>
      <c r="H17" s="141" t="e">
        <f t="shared" si="4"/>
        <v>#N/A</v>
      </c>
      <c r="I17" s="141" t="e">
        <f t="shared" si="5"/>
        <v>#N/A</v>
      </c>
      <c r="J17" s="141" t="e">
        <f t="shared" si="6"/>
        <v>#N/A</v>
      </c>
      <c r="K17" s="142" t="e">
        <f t="shared" si="7"/>
        <v>#N/A</v>
      </c>
      <c r="L17" s="141" t="e">
        <f t="shared" si="8"/>
        <v>#N/A</v>
      </c>
      <c r="M17" s="141" t="e">
        <f t="shared" si="9"/>
        <v>#N/A</v>
      </c>
      <c r="N17" s="141" t="e">
        <f t="shared" si="10"/>
        <v>#N/A</v>
      </c>
      <c r="O17" s="141" t="e">
        <f t="shared" si="11"/>
        <v>#N/A</v>
      </c>
      <c r="P17" s="142" t="e">
        <f t="shared" si="12"/>
        <v>#N/A</v>
      </c>
      <c r="Q17" s="141" t="e">
        <f t="shared" si="13"/>
        <v>#N/A</v>
      </c>
      <c r="R17" s="141" t="e">
        <f t="shared" si="14"/>
        <v>#N/A</v>
      </c>
      <c r="S17" s="173"/>
    </row>
    <row r="18" spans="1:19">
      <c r="A18" s="186">
        <v>17</v>
      </c>
      <c r="B18" s="186"/>
      <c r="C18" s="186" t="s">
        <v>1725</v>
      </c>
      <c r="D18" s="140" t="e">
        <f t="shared" si="0"/>
        <v>#N/A</v>
      </c>
      <c r="E18" s="141" t="e">
        <f t="shared" si="1"/>
        <v>#N/A</v>
      </c>
      <c r="F18" s="141" t="e">
        <f t="shared" si="2"/>
        <v>#N/A</v>
      </c>
      <c r="G18" s="141" t="e">
        <f t="shared" si="3"/>
        <v>#N/A</v>
      </c>
      <c r="H18" s="141" t="e">
        <f t="shared" si="4"/>
        <v>#N/A</v>
      </c>
      <c r="I18" s="141" t="e">
        <f t="shared" si="5"/>
        <v>#N/A</v>
      </c>
      <c r="J18" s="141" t="e">
        <f t="shared" si="6"/>
        <v>#N/A</v>
      </c>
      <c r="K18" s="142" t="e">
        <f t="shared" si="7"/>
        <v>#N/A</v>
      </c>
      <c r="L18" s="141" t="e">
        <f t="shared" si="8"/>
        <v>#N/A</v>
      </c>
      <c r="M18" s="141" t="e">
        <f t="shared" si="9"/>
        <v>#N/A</v>
      </c>
      <c r="N18" s="141" t="e">
        <f t="shared" si="10"/>
        <v>#N/A</v>
      </c>
      <c r="O18" s="141" t="e">
        <f t="shared" si="11"/>
        <v>#N/A</v>
      </c>
      <c r="P18" s="142" t="e">
        <f t="shared" si="12"/>
        <v>#N/A</v>
      </c>
      <c r="Q18" s="141" t="e">
        <f t="shared" si="13"/>
        <v>#N/A</v>
      </c>
      <c r="R18" s="141" t="e">
        <f t="shared" si="14"/>
        <v>#N/A</v>
      </c>
    </row>
    <row r="19" spans="1:19">
      <c r="A19" s="186">
        <v>18</v>
      </c>
      <c r="B19" s="186"/>
      <c r="C19" s="186" t="s">
        <v>1726</v>
      </c>
      <c r="D19" s="140" t="e">
        <f t="shared" si="0"/>
        <v>#N/A</v>
      </c>
      <c r="E19" s="141" t="e">
        <f t="shared" si="1"/>
        <v>#N/A</v>
      </c>
      <c r="F19" s="141" t="e">
        <f t="shared" si="2"/>
        <v>#N/A</v>
      </c>
      <c r="G19" s="141" t="e">
        <f t="shared" si="3"/>
        <v>#N/A</v>
      </c>
      <c r="H19" s="141" t="e">
        <f t="shared" si="4"/>
        <v>#N/A</v>
      </c>
      <c r="I19" s="141" t="e">
        <f t="shared" si="5"/>
        <v>#N/A</v>
      </c>
      <c r="J19" s="141" t="e">
        <f t="shared" si="6"/>
        <v>#N/A</v>
      </c>
      <c r="K19" s="142" t="e">
        <f t="shared" si="7"/>
        <v>#N/A</v>
      </c>
      <c r="L19" s="141" t="e">
        <f t="shared" si="8"/>
        <v>#N/A</v>
      </c>
      <c r="M19" s="141" t="e">
        <f t="shared" si="9"/>
        <v>#N/A</v>
      </c>
      <c r="N19" s="141" t="e">
        <f t="shared" si="10"/>
        <v>#N/A</v>
      </c>
      <c r="O19" s="141" t="e">
        <f t="shared" si="11"/>
        <v>#N/A</v>
      </c>
      <c r="P19" s="142" t="e">
        <f t="shared" si="12"/>
        <v>#N/A</v>
      </c>
      <c r="Q19" s="141" t="e">
        <f t="shared" si="13"/>
        <v>#N/A</v>
      </c>
      <c r="R19" s="141" t="e">
        <f t="shared" si="14"/>
        <v>#N/A</v>
      </c>
    </row>
    <row r="20" spans="1:19">
      <c r="A20" s="186">
        <v>19</v>
      </c>
      <c r="B20" s="186"/>
      <c r="C20" s="186" t="s">
        <v>1727</v>
      </c>
      <c r="D20" s="140" t="e">
        <f t="shared" si="0"/>
        <v>#N/A</v>
      </c>
      <c r="E20" s="141" t="e">
        <f t="shared" si="1"/>
        <v>#N/A</v>
      </c>
      <c r="F20" s="141" t="e">
        <f t="shared" si="2"/>
        <v>#N/A</v>
      </c>
      <c r="G20" s="141" t="e">
        <f t="shared" si="3"/>
        <v>#N/A</v>
      </c>
      <c r="H20" s="141" t="e">
        <f t="shared" si="4"/>
        <v>#N/A</v>
      </c>
      <c r="I20" s="141" t="e">
        <f t="shared" si="5"/>
        <v>#N/A</v>
      </c>
      <c r="J20" s="141" t="e">
        <f t="shared" si="6"/>
        <v>#N/A</v>
      </c>
      <c r="K20" s="142" t="e">
        <f t="shared" si="7"/>
        <v>#N/A</v>
      </c>
      <c r="L20" s="141" t="e">
        <f t="shared" si="8"/>
        <v>#N/A</v>
      </c>
      <c r="M20" s="141" t="e">
        <f t="shared" si="9"/>
        <v>#N/A</v>
      </c>
      <c r="N20" s="141" t="e">
        <f t="shared" si="10"/>
        <v>#N/A</v>
      </c>
      <c r="O20" s="141" t="e">
        <f t="shared" si="11"/>
        <v>#N/A</v>
      </c>
      <c r="P20" s="142" t="e">
        <f t="shared" si="12"/>
        <v>#N/A</v>
      </c>
      <c r="Q20" s="141" t="e">
        <f t="shared" si="13"/>
        <v>#N/A</v>
      </c>
      <c r="R20" s="141" t="e">
        <f t="shared" si="14"/>
        <v>#N/A</v>
      </c>
    </row>
    <row r="21" spans="1:19">
      <c r="G21" s="154"/>
      <c r="K21" s="142"/>
      <c r="P21" s="142"/>
    </row>
    <row r="22" spans="1:19">
      <c r="A22" s="139">
        <v>1</v>
      </c>
      <c r="C22" s="139">
        <v>3</v>
      </c>
      <c r="D22" s="141">
        <v>4</v>
      </c>
      <c r="E22" s="186">
        <v>5</v>
      </c>
      <c r="F22" s="141">
        <v>6</v>
      </c>
      <c r="G22" s="186">
        <v>7</v>
      </c>
      <c r="H22" s="141">
        <v>8</v>
      </c>
      <c r="I22" s="186">
        <v>9</v>
      </c>
      <c r="J22" s="141">
        <v>10</v>
      </c>
      <c r="K22" s="186">
        <v>11</v>
      </c>
      <c r="L22" s="141">
        <v>12</v>
      </c>
      <c r="M22" s="186">
        <v>13</v>
      </c>
      <c r="N22" s="141">
        <v>14</v>
      </c>
      <c r="O22" s="186">
        <v>15</v>
      </c>
      <c r="P22" s="141">
        <v>16</v>
      </c>
      <c r="Q22" s="186">
        <v>17</v>
      </c>
      <c r="R22" s="141">
        <v>18</v>
      </c>
    </row>
    <row r="23" spans="1:19">
      <c r="G23" s="154"/>
      <c r="K23" s="142"/>
      <c r="P23" s="142"/>
    </row>
    <row r="24" spans="1:19">
      <c r="G24" s="154"/>
      <c r="K24" s="142"/>
      <c r="P24" s="142"/>
    </row>
    <row r="25" spans="1:19">
      <c r="K25" s="142"/>
      <c r="P25" s="142"/>
    </row>
    <row r="26" spans="1:19">
      <c r="K26" s="142"/>
      <c r="P26" s="142"/>
    </row>
    <row r="27" spans="1:19">
      <c r="K27" s="142"/>
      <c r="P27" s="142"/>
    </row>
    <row r="28" spans="1:19">
      <c r="E28" s="139"/>
      <c r="G28" s="139"/>
      <c r="H28" s="139"/>
      <c r="J28" s="141"/>
      <c r="K28" s="142"/>
      <c r="M28" s="141"/>
      <c r="O28" s="141"/>
      <c r="P28" s="142"/>
    </row>
    <row r="29" spans="1:19">
      <c r="K29" s="142"/>
      <c r="P29" s="142"/>
    </row>
    <row r="30" spans="1:19">
      <c r="K30" s="142"/>
      <c r="P30" s="142"/>
    </row>
    <row r="31" spans="1:19">
      <c r="K31" s="142"/>
      <c r="P31" s="142"/>
    </row>
    <row r="32" spans="1:19">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1551"/>
  <sheetViews>
    <sheetView zoomScale="85" zoomScaleNormal="85" workbookViewId="0">
      <selection activeCell="AN16" sqref="AN16"/>
    </sheetView>
  </sheetViews>
  <sheetFormatPr defaultRowHeight="15.75"/>
  <cols>
    <col min="1" max="1" width="5.5" style="186" customWidth="1"/>
    <col min="2" max="2" width="11" style="186" hidden="1" customWidth="1"/>
    <col min="3" max="3" width="10.125" style="186" bestFit="1" customWidth="1"/>
    <col min="4" max="4" width="64.75" style="141" customWidth="1"/>
    <col min="5" max="5" width="27.125" style="141" bestFit="1" customWidth="1"/>
    <col min="6" max="6" width="22.5" style="141" customWidth="1"/>
    <col min="7" max="8" width="21.75" style="141" customWidth="1"/>
    <col min="9" max="9" width="10.375" style="186" customWidth="1"/>
    <col min="10" max="10" width="11.875" style="186" bestFit="1" customWidth="1"/>
    <col min="11" max="11" width="10.375" style="186" bestFit="1" customWidth="1"/>
    <col min="12" max="12" width="9.25" style="186" bestFit="1" customWidth="1"/>
    <col min="13" max="13" width="8.75" style="186" bestFit="1" customWidth="1"/>
    <col min="14" max="14" width="11.125" style="186" bestFit="1" customWidth="1"/>
    <col min="15" max="15" width="13.5" style="186" bestFit="1" customWidth="1"/>
    <col min="16" max="16" width="10.75" style="186" bestFit="1" customWidth="1"/>
    <col min="17" max="17" width="19" style="186" bestFit="1" customWidth="1"/>
    <col min="18" max="18" width="11.125" style="186" bestFit="1" customWidth="1"/>
    <col min="19" max="19" width="0.75" style="172" customWidth="1"/>
    <col min="20" max="16384" width="9" style="186"/>
  </cols>
  <sheetData>
    <row r="1" spans="1:19"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9" ht="16.5" thickTop="1">
      <c r="A2" s="186">
        <v>1</v>
      </c>
      <c r="C2" s="186" t="s">
        <v>1603</v>
      </c>
      <c r="D2" s="140" t="str">
        <f t="shared" ref="D2:D15" si="0">VLOOKUP($C2,TUANBV,2,0)</f>
        <v>Nghiệm thu hoàn thành phần móng</v>
      </c>
      <c r="E2" s="141" t="str">
        <f t="shared" ref="E2:E15" si="1">VLOOKUP($C2,TUANBV,3,0)</f>
        <v>Nhà tiểu học 3 phòng</v>
      </c>
      <c r="F2" s="141" t="str">
        <f t="shared" ref="F2:F15" si="2">VLOOKUP($C2,TUANBV,4,0)</f>
        <v>Điểm TĐC Pom Chốn</v>
      </c>
      <c r="G2" s="141" t="str">
        <f t="shared" ref="G2:G15" si="3">VLOOKUP($C2,TUANBV,5,0)</f>
        <v>1/HTMONG</v>
      </c>
      <c r="H2" s="141" t="str">
        <f t="shared" ref="H2:H15" si="4">VLOOKUP($C2,TUANBV,6,0)</f>
        <v>1/HTMONG</v>
      </c>
      <c r="I2" s="141" t="str">
        <f t="shared" ref="I2:I15" si="5">VLOOKUP($C2,TUANBV,7,0)</f>
        <v>23</v>
      </c>
      <c r="J2" s="141" t="str">
        <f t="shared" ref="J2:J15" si="6">VLOOKUP($C2,TUANBV,8,0)</f>
        <v>09</v>
      </c>
      <c r="K2" s="142">
        <f t="shared" ref="K2:K15" si="7">VLOOKUP($C2,TUANBV,9,0)</f>
        <v>41905</v>
      </c>
      <c r="L2" s="141" t="str">
        <f t="shared" ref="L2:L15" si="8">VLOOKUP($C2,TUANBV,10,0)</f>
        <v>10 giờ 00</v>
      </c>
      <c r="M2" s="141" t="str">
        <f t="shared" ref="M2:M15" si="9">VLOOKUP($C2,TUANBV,11,0)</f>
        <v>11 giờ 00</v>
      </c>
      <c r="N2" s="141" t="str">
        <f t="shared" ref="N2:N15" si="10">VLOOKUP($C2,TUANBV,12,0)</f>
        <v>24</v>
      </c>
      <c r="O2" s="141" t="str">
        <f t="shared" ref="O2:O15" si="11">VLOOKUP($C2,TUANBV,13,0)</f>
        <v>09</v>
      </c>
      <c r="P2" s="142">
        <f t="shared" ref="P2:P15" si="12">VLOOKUP($C2,TUANBV,14,0)</f>
        <v>41906</v>
      </c>
      <c r="Q2" s="141" t="str">
        <f t="shared" ref="Q2:Q15" si="13">VLOOKUP($C2,TUANBV,15,0)</f>
        <v>Nguyễn Xuân Quỳnh</v>
      </c>
      <c r="R2" s="141" t="str">
        <f t="shared" ref="R2:R15" si="14">VLOOKUP($C2,TUANBV,16,0)</f>
        <v>Lê Văn Thái</v>
      </c>
    </row>
    <row r="3" spans="1:19">
      <c r="A3" s="186">
        <v>2</v>
      </c>
      <c r="C3" s="186" t="s">
        <v>1627</v>
      </c>
      <c r="D3" s="140" t="e">
        <f t="shared" si="0"/>
        <v>#N/A</v>
      </c>
      <c r="E3" s="141" t="e">
        <f t="shared" si="1"/>
        <v>#N/A</v>
      </c>
      <c r="F3" s="141" t="e">
        <f t="shared" si="2"/>
        <v>#N/A</v>
      </c>
      <c r="G3" s="141" t="e">
        <f t="shared" si="3"/>
        <v>#N/A</v>
      </c>
      <c r="H3" s="141" t="e">
        <f t="shared" si="4"/>
        <v>#N/A</v>
      </c>
      <c r="I3" s="141" t="e">
        <f t="shared" si="5"/>
        <v>#N/A</v>
      </c>
      <c r="J3" s="141" t="e">
        <f t="shared" si="6"/>
        <v>#N/A</v>
      </c>
      <c r="K3" s="142" t="e">
        <f t="shared" si="7"/>
        <v>#N/A</v>
      </c>
      <c r="L3" s="141" t="e">
        <f t="shared" si="8"/>
        <v>#N/A</v>
      </c>
      <c r="M3" s="141" t="e">
        <f t="shared" si="9"/>
        <v>#N/A</v>
      </c>
      <c r="N3" s="141" t="e">
        <f t="shared" si="10"/>
        <v>#N/A</v>
      </c>
      <c r="O3" s="141" t="e">
        <f t="shared" si="11"/>
        <v>#N/A</v>
      </c>
      <c r="P3" s="142" t="e">
        <f t="shared" si="12"/>
        <v>#N/A</v>
      </c>
      <c r="Q3" s="141" t="e">
        <f t="shared" si="13"/>
        <v>#N/A</v>
      </c>
      <c r="R3" s="141" t="e">
        <f t="shared" si="14"/>
        <v>#N/A</v>
      </c>
    </row>
    <row r="4" spans="1:19">
      <c r="A4" s="186">
        <v>3</v>
      </c>
      <c r="C4" s="186" t="s">
        <v>1628</v>
      </c>
      <c r="D4" s="140" t="e">
        <f t="shared" si="0"/>
        <v>#N/A</v>
      </c>
      <c r="E4" s="141" t="e">
        <f t="shared" si="1"/>
        <v>#N/A</v>
      </c>
      <c r="F4" s="141" t="e">
        <f t="shared" si="2"/>
        <v>#N/A</v>
      </c>
      <c r="G4" s="141" t="e">
        <f t="shared" si="3"/>
        <v>#N/A</v>
      </c>
      <c r="H4" s="141" t="e">
        <f t="shared" si="4"/>
        <v>#N/A</v>
      </c>
      <c r="I4" s="141" t="e">
        <f t="shared" si="5"/>
        <v>#N/A</v>
      </c>
      <c r="J4" s="141" t="e">
        <f t="shared" si="6"/>
        <v>#N/A</v>
      </c>
      <c r="K4" s="142" t="e">
        <f t="shared" si="7"/>
        <v>#N/A</v>
      </c>
      <c r="L4" s="141" t="e">
        <f t="shared" si="8"/>
        <v>#N/A</v>
      </c>
      <c r="M4" s="141" t="e">
        <f t="shared" si="9"/>
        <v>#N/A</v>
      </c>
      <c r="N4" s="141" t="e">
        <f t="shared" si="10"/>
        <v>#N/A</v>
      </c>
      <c r="O4" s="141" t="e">
        <f t="shared" si="11"/>
        <v>#N/A</v>
      </c>
      <c r="P4" s="142" t="e">
        <f t="shared" si="12"/>
        <v>#N/A</v>
      </c>
      <c r="Q4" s="141" t="e">
        <f t="shared" si="13"/>
        <v>#N/A</v>
      </c>
      <c r="R4" s="141" t="e">
        <f t="shared" si="14"/>
        <v>#N/A</v>
      </c>
    </row>
    <row r="5" spans="1:19">
      <c r="A5" s="186">
        <v>4</v>
      </c>
      <c r="C5" s="186" t="s">
        <v>1629</v>
      </c>
      <c r="D5" s="140" t="e">
        <f t="shared" si="0"/>
        <v>#N/A</v>
      </c>
      <c r="E5" s="141" t="e">
        <f t="shared" si="1"/>
        <v>#N/A</v>
      </c>
      <c r="F5" s="141" t="e">
        <f t="shared" si="2"/>
        <v>#N/A</v>
      </c>
      <c r="G5" s="141" t="e">
        <f t="shared" si="3"/>
        <v>#N/A</v>
      </c>
      <c r="H5" s="141" t="e">
        <f t="shared" si="4"/>
        <v>#N/A</v>
      </c>
      <c r="I5" s="141" t="e">
        <f t="shared" si="5"/>
        <v>#N/A</v>
      </c>
      <c r="J5" s="141" t="e">
        <f t="shared" si="6"/>
        <v>#N/A</v>
      </c>
      <c r="K5" s="142" t="e">
        <f t="shared" si="7"/>
        <v>#N/A</v>
      </c>
      <c r="L5" s="141" t="e">
        <f t="shared" si="8"/>
        <v>#N/A</v>
      </c>
      <c r="M5" s="141" t="e">
        <f t="shared" si="9"/>
        <v>#N/A</v>
      </c>
      <c r="N5" s="141" t="e">
        <f t="shared" si="10"/>
        <v>#N/A</v>
      </c>
      <c r="O5" s="141" t="e">
        <f t="shared" si="11"/>
        <v>#N/A</v>
      </c>
      <c r="P5" s="142" t="e">
        <f t="shared" si="12"/>
        <v>#N/A</v>
      </c>
      <c r="Q5" s="141" t="e">
        <f t="shared" si="13"/>
        <v>#N/A</v>
      </c>
      <c r="R5" s="141" t="e">
        <f t="shared" si="14"/>
        <v>#N/A</v>
      </c>
    </row>
    <row r="6" spans="1:19">
      <c r="A6" s="186">
        <v>5</v>
      </c>
      <c r="C6" s="186" t="s">
        <v>1630</v>
      </c>
      <c r="D6" s="140" t="e">
        <f t="shared" si="0"/>
        <v>#N/A</v>
      </c>
      <c r="E6" s="141" t="e">
        <f t="shared" si="1"/>
        <v>#N/A</v>
      </c>
      <c r="F6" s="141" t="e">
        <f t="shared" si="2"/>
        <v>#N/A</v>
      </c>
      <c r="G6" s="141" t="e">
        <f t="shared" si="3"/>
        <v>#N/A</v>
      </c>
      <c r="H6" s="141" t="e">
        <f t="shared" si="4"/>
        <v>#N/A</v>
      </c>
      <c r="I6" s="141" t="e">
        <f t="shared" si="5"/>
        <v>#N/A</v>
      </c>
      <c r="J6" s="141" t="e">
        <f t="shared" si="6"/>
        <v>#N/A</v>
      </c>
      <c r="K6" s="142" t="e">
        <f t="shared" si="7"/>
        <v>#N/A</v>
      </c>
      <c r="L6" s="141" t="e">
        <f t="shared" si="8"/>
        <v>#N/A</v>
      </c>
      <c r="M6" s="141" t="e">
        <f t="shared" si="9"/>
        <v>#N/A</v>
      </c>
      <c r="N6" s="141" t="e">
        <f t="shared" si="10"/>
        <v>#N/A</v>
      </c>
      <c r="O6" s="141" t="e">
        <f t="shared" si="11"/>
        <v>#N/A</v>
      </c>
      <c r="P6" s="142" t="e">
        <f t="shared" si="12"/>
        <v>#N/A</v>
      </c>
      <c r="Q6" s="141" t="e">
        <f t="shared" si="13"/>
        <v>#N/A</v>
      </c>
      <c r="R6" s="141" t="e">
        <f t="shared" si="14"/>
        <v>#N/A</v>
      </c>
    </row>
    <row r="7" spans="1:19">
      <c r="A7" s="186">
        <v>6</v>
      </c>
      <c r="C7" s="186" t="s">
        <v>1631</v>
      </c>
      <c r="D7" s="140" t="e">
        <f t="shared" si="0"/>
        <v>#N/A</v>
      </c>
      <c r="E7" s="141" t="e">
        <f t="shared" si="1"/>
        <v>#N/A</v>
      </c>
      <c r="F7" s="141" t="e">
        <f t="shared" si="2"/>
        <v>#N/A</v>
      </c>
      <c r="G7" s="141" t="e">
        <f t="shared" si="3"/>
        <v>#N/A</v>
      </c>
      <c r="H7" s="141" t="e">
        <f t="shared" si="4"/>
        <v>#N/A</v>
      </c>
      <c r="I7" s="141" t="e">
        <f t="shared" si="5"/>
        <v>#N/A</v>
      </c>
      <c r="J7" s="141" t="e">
        <f t="shared" si="6"/>
        <v>#N/A</v>
      </c>
      <c r="K7" s="142" t="e">
        <f t="shared" si="7"/>
        <v>#N/A</v>
      </c>
      <c r="L7" s="141" t="e">
        <f t="shared" si="8"/>
        <v>#N/A</v>
      </c>
      <c r="M7" s="141" t="e">
        <f t="shared" si="9"/>
        <v>#N/A</v>
      </c>
      <c r="N7" s="141" t="e">
        <f t="shared" si="10"/>
        <v>#N/A</v>
      </c>
      <c r="O7" s="141" t="e">
        <f t="shared" si="11"/>
        <v>#N/A</v>
      </c>
      <c r="P7" s="142" t="e">
        <f t="shared" si="12"/>
        <v>#N/A</v>
      </c>
      <c r="Q7" s="141" t="e">
        <f t="shared" si="13"/>
        <v>#N/A</v>
      </c>
      <c r="R7" s="141" t="e">
        <f t="shared" si="14"/>
        <v>#N/A</v>
      </c>
    </row>
    <row r="8" spans="1:19">
      <c r="A8" s="186">
        <v>7</v>
      </c>
      <c r="C8" s="186" t="s">
        <v>1728</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row>
    <row r="9" spans="1:19">
      <c r="A9" s="186">
        <v>8</v>
      </c>
      <c r="C9" s="186" t="s">
        <v>1729</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row>
    <row r="10" spans="1:19">
      <c r="A10" s="186">
        <v>9</v>
      </c>
      <c r="C10" s="186" t="s">
        <v>1730</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row>
    <row r="11" spans="1:19" s="141" customFormat="1">
      <c r="A11" s="186">
        <v>10</v>
      </c>
      <c r="B11" s="186"/>
      <c r="C11" s="186" t="s">
        <v>1731</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73"/>
    </row>
    <row r="12" spans="1:19" s="141" customFormat="1">
      <c r="A12" s="186">
        <v>11</v>
      </c>
      <c r="B12" s="186"/>
      <c r="C12" s="186" t="s">
        <v>1732</v>
      </c>
      <c r="D12" s="140" t="e">
        <f t="shared" si="0"/>
        <v>#N/A</v>
      </c>
      <c r="E12" s="141" t="e">
        <f t="shared" si="1"/>
        <v>#N/A</v>
      </c>
      <c r="F12" s="141" t="e">
        <f t="shared" si="2"/>
        <v>#N/A</v>
      </c>
      <c r="G12" s="141" t="e">
        <f t="shared" si="3"/>
        <v>#N/A</v>
      </c>
      <c r="H12" s="141" t="e">
        <f t="shared" si="4"/>
        <v>#N/A</v>
      </c>
      <c r="I12" s="141" t="e">
        <f t="shared" si="5"/>
        <v>#N/A</v>
      </c>
      <c r="J12" s="141" t="e">
        <f t="shared" si="6"/>
        <v>#N/A</v>
      </c>
      <c r="K12" s="142" t="e">
        <f t="shared" si="7"/>
        <v>#N/A</v>
      </c>
      <c r="L12" s="141" t="e">
        <f t="shared" si="8"/>
        <v>#N/A</v>
      </c>
      <c r="M12" s="141" t="e">
        <f t="shared" si="9"/>
        <v>#N/A</v>
      </c>
      <c r="N12" s="141" t="e">
        <f t="shared" si="10"/>
        <v>#N/A</v>
      </c>
      <c r="O12" s="141" t="e">
        <f t="shared" si="11"/>
        <v>#N/A</v>
      </c>
      <c r="P12" s="142" t="e">
        <f t="shared" si="12"/>
        <v>#N/A</v>
      </c>
      <c r="Q12" s="141" t="e">
        <f t="shared" si="13"/>
        <v>#N/A</v>
      </c>
      <c r="R12" s="141" t="e">
        <f t="shared" si="14"/>
        <v>#N/A</v>
      </c>
      <c r="S12" s="173"/>
    </row>
    <row r="13" spans="1:19" s="141" customFormat="1">
      <c r="A13" s="186">
        <v>12</v>
      </c>
      <c r="B13" s="186"/>
      <c r="C13" s="186" t="s">
        <v>1733</v>
      </c>
      <c r="D13" s="140" t="e">
        <f t="shared" si="0"/>
        <v>#N/A</v>
      </c>
      <c r="E13" s="141" t="e">
        <f t="shared" si="1"/>
        <v>#N/A</v>
      </c>
      <c r="F13" s="141" t="e">
        <f t="shared" si="2"/>
        <v>#N/A</v>
      </c>
      <c r="G13" s="141" t="e">
        <f t="shared" si="3"/>
        <v>#N/A</v>
      </c>
      <c r="H13" s="141" t="e">
        <f t="shared" si="4"/>
        <v>#N/A</v>
      </c>
      <c r="I13" s="141" t="e">
        <f t="shared" si="5"/>
        <v>#N/A</v>
      </c>
      <c r="J13" s="141" t="e">
        <f t="shared" si="6"/>
        <v>#N/A</v>
      </c>
      <c r="K13" s="142" t="e">
        <f t="shared" si="7"/>
        <v>#N/A</v>
      </c>
      <c r="L13" s="141" t="e">
        <f t="shared" si="8"/>
        <v>#N/A</v>
      </c>
      <c r="M13" s="141" t="e">
        <f t="shared" si="9"/>
        <v>#N/A</v>
      </c>
      <c r="N13" s="141" t="e">
        <f t="shared" si="10"/>
        <v>#N/A</v>
      </c>
      <c r="O13" s="141" t="e">
        <f t="shared" si="11"/>
        <v>#N/A</v>
      </c>
      <c r="P13" s="142" t="e">
        <f t="shared" si="12"/>
        <v>#N/A</v>
      </c>
      <c r="Q13" s="141" t="e">
        <f t="shared" si="13"/>
        <v>#N/A</v>
      </c>
      <c r="R13" s="141" t="e">
        <f t="shared" si="14"/>
        <v>#N/A</v>
      </c>
      <c r="S13" s="173"/>
    </row>
    <row r="14" spans="1:19" s="141" customFormat="1">
      <c r="A14" s="186">
        <v>13</v>
      </c>
      <c r="B14" s="186"/>
      <c r="C14" s="186" t="s">
        <v>1734</v>
      </c>
      <c r="D14" s="140" t="e">
        <f t="shared" si="0"/>
        <v>#N/A</v>
      </c>
      <c r="E14" s="141" t="e">
        <f t="shared" si="1"/>
        <v>#N/A</v>
      </c>
      <c r="F14" s="141" t="e">
        <f t="shared" si="2"/>
        <v>#N/A</v>
      </c>
      <c r="G14" s="141" t="e">
        <f t="shared" si="3"/>
        <v>#N/A</v>
      </c>
      <c r="H14" s="141" t="e">
        <f t="shared" si="4"/>
        <v>#N/A</v>
      </c>
      <c r="I14" s="141" t="e">
        <f t="shared" si="5"/>
        <v>#N/A</v>
      </c>
      <c r="J14" s="141" t="e">
        <f t="shared" si="6"/>
        <v>#N/A</v>
      </c>
      <c r="K14" s="142" t="e">
        <f t="shared" si="7"/>
        <v>#N/A</v>
      </c>
      <c r="L14" s="141" t="e">
        <f t="shared" si="8"/>
        <v>#N/A</v>
      </c>
      <c r="M14" s="141" t="e">
        <f t="shared" si="9"/>
        <v>#N/A</v>
      </c>
      <c r="N14" s="141" t="e">
        <f t="shared" si="10"/>
        <v>#N/A</v>
      </c>
      <c r="O14" s="141" t="e">
        <f t="shared" si="11"/>
        <v>#N/A</v>
      </c>
      <c r="P14" s="142" t="e">
        <f t="shared" si="12"/>
        <v>#N/A</v>
      </c>
      <c r="Q14" s="141" t="e">
        <f t="shared" si="13"/>
        <v>#N/A</v>
      </c>
      <c r="R14" s="141" t="e">
        <f t="shared" si="14"/>
        <v>#N/A</v>
      </c>
      <c r="S14" s="173"/>
    </row>
    <row r="15" spans="1:19" s="141" customFormat="1">
      <c r="A15" s="186">
        <v>14</v>
      </c>
      <c r="B15" s="186"/>
      <c r="C15" s="186" t="s">
        <v>1735</v>
      </c>
      <c r="D15" s="140" t="e">
        <f t="shared" si="0"/>
        <v>#N/A</v>
      </c>
      <c r="E15" s="141" t="e">
        <f t="shared" si="1"/>
        <v>#N/A</v>
      </c>
      <c r="F15" s="141" t="e">
        <f t="shared" si="2"/>
        <v>#N/A</v>
      </c>
      <c r="G15" s="141" t="e">
        <f t="shared" si="3"/>
        <v>#N/A</v>
      </c>
      <c r="H15" s="141" t="e">
        <f t="shared" si="4"/>
        <v>#N/A</v>
      </c>
      <c r="I15" s="141" t="e">
        <f t="shared" si="5"/>
        <v>#N/A</v>
      </c>
      <c r="J15" s="141" t="e">
        <f t="shared" si="6"/>
        <v>#N/A</v>
      </c>
      <c r="K15" s="142" t="e">
        <f t="shared" si="7"/>
        <v>#N/A</v>
      </c>
      <c r="L15" s="141" t="e">
        <f t="shared" si="8"/>
        <v>#N/A</v>
      </c>
      <c r="M15" s="141" t="e">
        <f t="shared" si="9"/>
        <v>#N/A</v>
      </c>
      <c r="N15" s="141" t="e">
        <f t="shared" si="10"/>
        <v>#N/A</v>
      </c>
      <c r="O15" s="141" t="e">
        <f t="shared" si="11"/>
        <v>#N/A</v>
      </c>
      <c r="P15" s="142" t="e">
        <f t="shared" si="12"/>
        <v>#N/A</v>
      </c>
      <c r="Q15" s="141" t="e">
        <f t="shared" si="13"/>
        <v>#N/A</v>
      </c>
      <c r="R15" s="141" t="e">
        <f t="shared" si="14"/>
        <v>#N/A</v>
      </c>
      <c r="S15" s="173"/>
    </row>
    <row r="16" spans="1:19" s="141" customFormat="1">
      <c r="C16" s="186"/>
      <c r="G16" s="154"/>
      <c r="I16" s="186"/>
      <c r="J16" s="186"/>
      <c r="K16" s="142"/>
      <c r="N16" s="186"/>
      <c r="O16" s="186"/>
      <c r="P16" s="142"/>
      <c r="S16" s="173"/>
    </row>
    <row r="17" spans="1:19" s="141" customFormat="1">
      <c r="C17" s="186"/>
      <c r="G17" s="154"/>
      <c r="I17" s="186"/>
      <c r="J17" s="186"/>
      <c r="K17" s="142"/>
      <c r="N17" s="186"/>
      <c r="O17" s="186"/>
      <c r="P17" s="142"/>
      <c r="S17" s="173"/>
    </row>
    <row r="18" spans="1:19">
      <c r="G18" s="154"/>
      <c r="K18" s="142"/>
      <c r="P18" s="142"/>
    </row>
    <row r="19" spans="1:19">
      <c r="G19" s="154"/>
      <c r="K19" s="142"/>
      <c r="P19" s="142"/>
    </row>
    <row r="20" spans="1:19">
      <c r="G20" s="154"/>
      <c r="K20" s="142"/>
      <c r="P20" s="142"/>
    </row>
    <row r="21" spans="1:19">
      <c r="G21" s="154"/>
      <c r="K21" s="142"/>
      <c r="P21" s="142"/>
    </row>
    <row r="22" spans="1:19">
      <c r="A22" s="186">
        <v>1</v>
      </c>
      <c r="C22" s="186">
        <v>3</v>
      </c>
      <c r="D22" s="141">
        <v>4</v>
      </c>
      <c r="E22" s="186">
        <v>5</v>
      </c>
      <c r="F22" s="141">
        <v>6</v>
      </c>
      <c r="G22" s="186">
        <v>7</v>
      </c>
      <c r="H22" s="141">
        <v>8</v>
      </c>
      <c r="I22" s="186">
        <v>9</v>
      </c>
      <c r="J22" s="141">
        <v>10</v>
      </c>
      <c r="K22" s="186">
        <v>11</v>
      </c>
      <c r="L22" s="141">
        <v>12</v>
      </c>
      <c r="M22" s="186">
        <v>13</v>
      </c>
      <c r="N22" s="141">
        <v>14</v>
      </c>
      <c r="O22" s="186">
        <v>15</v>
      </c>
      <c r="P22" s="141">
        <v>16</v>
      </c>
      <c r="Q22" s="186">
        <v>17</v>
      </c>
      <c r="R22" s="141">
        <v>18</v>
      </c>
    </row>
    <row r="23" spans="1:19">
      <c r="G23" s="154"/>
      <c r="K23" s="142"/>
      <c r="P23" s="142"/>
    </row>
    <row r="24" spans="1:19">
      <c r="G24" s="154"/>
      <c r="K24" s="142"/>
      <c r="P24" s="142"/>
    </row>
    <row r="25" spans="1:19">
      <c r="K25" s="142"/>
      <c r="P25" s="142"/>
    </row>
    <row r="26" spans="1:19">
      <c r="K26" s="142"/>
      <c r="P26" s="142"/>
    </row>
    <row r="27" spans="1:19">
      <c r="K27" s="142"/>
      <c r="P27" s="142"/>
    </row>
    <row r="28" spans="1:19">
      <c r="E28" s="186"/>
      <c r="G28" s="186"/>
      <c r="H28" s="186"/>
      <c r="J28" s="141"/>
      <c r="K28" s="142"/>
      <c r="M28" s="141"/>
      <c r="O28" s="141"/>
      <c r="P28" s="142"/>
    </row>
    <row r="29" spans="1:19">
      <c r="K29" s="142"/>
      <c r="P29" s="142"/>
    </row>
    <row r="30" spans="1:19">
      <c r="K30" s="142"/>
      <c r="P30" s="142"/>
    </row>
    <row r="31" spans="1:19">
      <c r="K31" s="142"/>
      <c r="P31" s="142"/>
    </row>
    <row r="32" spans="1:19">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86"/>
      <c r="G865" s="186"/>
      <c r="H865" s="186"/>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AS1551"/>
  <sheetViews>
    <sheetView zoomScale="85" zoomScaleNormal="85" workbookViewId="0">
      <pane xSplit="4" ySplit="1" topLeftCell="E2" activePane="bottomRight" state="frozen"/>
      <selection activeCell="AN16" sqref="AN16"/>
      <selection pane="topRight" activeCell="AN16" sqref="AN16"/>
      <selection pane="bottomLeft" activeCell="AN16" sqref="AN16"/>
      <selection pane="bottomRight" activeCell="C15" sqref="C15"/>
    </sheetView>
  </sheetViews>
  <sheetFormatPr defaultRowHeight="15.75"/>
  <cols>
    <col min="1" max="1" width="5.5" style="139" customWidth="1"/>
    <col min="2" max="2" width="11" style="139" customWidth="1"/>
    <col min="3" max="3" width="10.125" style="139" bestFit="1" customWidth="1"/>
    <col min="4" max="4" width="64.75" style="141" customWidth="1"/>
    <col min="5" max="5" width="24.875" style="14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9" width="1.375" style="165" customWidth="1"/>
    <col min="20" max="20" width="12.5" style="139" hidden="1" customWidth="1"/>
    <col min="21" max="21" width="12.5" style="139" customWidth="1"/>
    <col min="22" max="22" width="1.125" style="165" customWidth="1"/>
    <col min="23" max="23" width="15.25" style="139" customWidth="1"/>
    <col min="24" max="24" width="14.625" style="139" customWidth="1"/>
    <col min="25" max="25" width="13.125" style="139" customWidth="1"/>
    <col min="26" max="26" width="15.5" style="139" customWidth="1"/>
    <col min="27" max="27" width="12.875" style="139" customWidth="1"/>
    <col min="28" max="28" width="0.875" style="165" customWidth="1"/>
    <col min="29" max="31" width="13.25" style="139" customWidth="1"/>
    <col min="32" max="32" width="1.25" style="165" customWidth="1"/>
    <col min="33" max="35" width="13.25" style="139" hidden="1" customWidth="1"/>
    <col min="36" max="36" width="0.875" style="172" customWidth="1"/>
    <col min="37" max="37" width="9.375" style="139" bestFit="1" customWidth="1"/>
    <col min="38" max="40" width="9" style="139"/>
    <col min="41" max="41" width="1.25" style="165" customWidth="1"/>
    <col min="42" max="42" width="9.875" style="139" customWidth="1"/>
    <col min="43" max="44" width="19.25" style="139" customWidth="1"/>
    <col min="45" max="45" width="1.25" style="172" customWidth="1"/>
    <col min="46" max="16384" width="9" style="139"/>
  </cols>
  <sheetData>
    <row r="1" spans="1:45" ht="29.25" thickBot="1">
      <c r="A1" s="174" t="s">
        <v>1085</v>
      </c>
      <c r="B1" s="333"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c r="T1" s="170" t="s">
        <v>1135</v>
      </c>
      <c r="U1" s="184" t="s">
        <v>1136</v>
      </c>
      <c r="V1" s="163"/>
      <c r="W1" s="184" t="s">
        <v>1142</v>
      </c>
      <c r="X1" s="318" t="s">
        <v>1143</v>
      </c>
      <c r="Y1" s="163" t="s">
        <v>1137</v>
      </c>
      <c r="Z1" s="163" t="s">
        <v>1138</v>
      </c>
      <c r="AA1" s="163" t="s">
        <v>1139</v>
      </c>
      <c r="AB1" s="163"/>
      <c r="AC1" s="185" t="s">
        <v>1116</v>
      </c>
      <c r="AD1" s="185" t="s">
        <v>1117</v>
      </c>
      <c r="AE1" s="185" t="s">
        <v>1141</v>
      </c>
      <c r="AF1" s="163"/>
      <c r="AG1" s="170" t="s">
        <v>1101</v>
      </c>
      <c r="AH1" s="170" t="s">
        <v>1102</v>
      </c>
      <c r="AI1" s="170" t="s">
        <v>1140</v>
      </c>
      <c r="AK1" s="150" t="s">
        <v>1152</v>
      </c>
      <c r="AL1" s="150" t="s">
        <v>1095</v>
      </c>
      <c r="AM1" s="150" t="s">
        <v>1087</v>
      </c>
      <c r="AN1" s="150" t="s">
        <v>1089</v>
      </c>
      <c r="AO1" s="163"/>
      <c r="AP1" s="468" t="s">
        <v>1484</v>
      </c>
      <c r="AQ1" s="468"/>
      <c r="AR1" s="468"/>
    </row>
    <row r="2" spans="1:45" ht="16.5" customHeight="1" thickTop="1">
      <c r="A2" s="139">
        <v>1</v>
      </c>
      <c r="B2" s="312" t="str">
        <f t="shared" ref="B2:B11" si="0">VLOOKUP($A2,BANGXAY,2,0)</f>
        <v>Mác 75</v>
      </c>
      <c r="C2" s="139" t="s">
        <v>1469</v>
      </c>
      <c r="D2" s="140" t="str">
        <f t="shared" ref="D2:D11" si="1">VLOOKUP($C2,TUANBV,2,0)</f>
        <v>Vật liệu trước khi xây móng đá hộc</v>
      </c>
      <c r="E2" s="141" t="str">
        <f t="shared" ref="E2:E11" si="2">VLOOKUP($C2,TUANBV,3,0)</f>
        <v>Nhà tiểu học 3 phòng</v>
      </c>
      <c r="F2" s="141" t="str">
        <f t="shared" ref="F2:F11" si="3">VLOOKUP($C2,TUANBV,4,0)</f>
        <v>Điểm TĐC Pom Chốn</v>
      </c>
      <c r="G2" s="141" t="str">
        <f t="shared" ref="G2:G11" si="4">VLOOKUP($C2,TUANBV,5,0)</f>
        <v>3/VLTH3PC</v>
      </c>
      <c r="H2" s="141" t="str">
        <f t="shared" ref="H2:H11" si="5">VLOOKUP($C2,TUANBV,6,0)</f>
        <v>3/VLTH3PC</v>
      </c>
      <c r="I2" s="141" t="str">
        <f t="shared" ref="I2:I11" si="6">VLOOKUP($C2,TUANBV,7,0)</f>
        <v>22</v>
      </c>
      <c r="J2" s="141" t="str">
        <f t="shared" ref="J2:J11" si="7">VLOOKUP($C2,TUANBV,8,0)</f>
        <v>08</v>
      </c>
      <c r="K2" s="142">
        <f t="shared" ref="K2:K11" si="8">VLOOKUP($C2,TUANBV,9,0)</f>
        <v>41873</v>
      </c>
      <c r="L2" s="141" t="str">
        <f t="shared" ref="L2:L11" si="9">VLOOKUP($C2,TUANBV,10,0)</f>
        <v>08 giờ 00</v>
      </c>
      <c r="M2" s="141" t="str">
        <f t="shared" ref="M2:M11" si="10">VLOOKUP($C2,TUANBV,11,0)</f>
        <v>09 giờ 00</v>
      </c>
      <c r="N2" s="141" t="str">
        <f t="shared" ref="N2:N11" si="11">VLOOKUP($C2,TUANBV,12,0)</f>
        <v>23</v>
      </c>
      <c r="O2" s="141" t="str">
        <f t="shared" ref="O2:O11" si="12">VLOOKUP($C2,TUANBV,13,0)</f>
        <v>08</v>
      </c>
      <c r="P2" s="142">
        <f t="shared" ref="P2:P11" si="13">VLOOKUP($C2,TUANBV,14,0)</f>
        <v>41874</v>
      </c>
      <c r="Q2" s="141" t="str">
        <f t="shared" ref="Q2:Q11" si="14">VLOOKUP($C2,TUANBV,15,0)</f>
        <v>Nguyễn Xuân Quỳnh</v>
      </c>
      <c r="R2" s="141" t="str">
        <f t="shared" ref="R2:R11" si="15">VLOOKUP($C2,TUANBV,16,0)</f>
        <v>Lê Văn Thái</v>
      </c>
      <c r="T2" s="317" t="s">
        <v>1594</v>
      </c>
      <c r="U2" s="175">
        <f t="shared" ref="U2:U11" si="16">VLOOKUP($A2,BANGXAY,3,0)</f>
        <v>44.63</v>
      </c>
      <c r="W2" s="186">
        <f t="shared" ref="W2:W11" si="17">VLOOKUP($A2,BANGXAY,4,0)</f>
        <v>0.42</v>
      </c>
      <c r="X2" s="176">
        <f>U2*W2</f>
        <v>18.744600000000002</v>
      </c>
      <c r="Y2" s="139">
        <f>VLOOKUP($B2,$AK$3:$AN$5,2,0)</f>
        <v>296.02999999999997</v>
      </c>
      <c r="Z2" s="186">
        <f>VLOOKUP($B2,$AK$3:$AN$5,3,0)</f>
        <v>1.1200000000000001</v>
      </c>
      <c r="AA2" s="186">
        <f t="shared" ref="AA2:AA11" si="18">VLOOKUP($A2,BANGXAY,5,0)</f>
        <v>1.2</v>
      </c>
      <c r="AC2" s="176">
        <f>ROUND($X2*Y2,2)</f>
        <v>5548.96</v>
      </c>
      <c r="AD2" s="176">
        <f>ROUND($X2*Z2,2)</f>
        <v>20.99</v>
      </c>
      <c r="AE2" s="176">
        <f>ROUND($U2*AA2,2)</f>
        <v>53.56</v>
      </c>
      <c r="AG2" s="177">
        <v>0</v>
      </c>
      <c r="AH2" s="177">
        <v>0</v>
      </c>
      <c r="AI2" s="177">
        <v>0</v>
      </c>
      <c r="AK2" s="159"/>
      <c r="AL2" s="159" t="s">
        <v>1153</v>
      </c>
      <c r="AM2" s="159" t="s">
        <v>1154</v>
      </c>
      <c r="AN2" s="159" t="s">
        <v>1155</v>
      </c>
      <c r="AO2" s="161"/>
      <c r="AP2" s="313"/>
      <c r="AQ2" s="313" t="s">
        <v>1482</v>
      </c>
      <c r="AR2" s="313" t="s">
        <v>1483</v>
      </c>
    </row>
    <row r="3" spans="1:45" ht="31.5">
      <c r="A3" s="139">
        <v>2</v>
      </c>
      <c r="B3" s="312" t="str">
        <f t="shared" si="0"/>
        <v>Mác 50</v>
      </c>
      <c r="C3" s="186" t="s">
        <v>1145</v>
      </c>
      <c r="D3" s="140" t="str">
        <f t="shared" si="1"/>
        <v>Vật liệu trước khi xây tường, xây cột (từ cốt 0.00 đến cốt lanh tô)</v>
      </c>
      <c r="E3" s="141" t="str">
        <f t="shared" si="2"/>
        <v>Nhà tiểu học 3 phòng</v>
      </c>
      <c r="F3" s="141" t="str">
        <f t="shared" si="3"/>
        <v>Điểm TĐC Pom Chốn</v>
      </c>
      <c r="G3" s="141" t="str">
        <f t="shared" si="4"/>
        <v>5/VLTH3PC</v>
      </c>
      <c r="H3" s="141" t="str">
        <f t="shared" si="5"/>
        <v>5/VLTH3PC</v>
      </c>
      <c r="I3" s="141" t="str">
        <f t="shared" si="6"/>
        <v>…..</v>
      </c>
      <c r="J3" s="141" t="str">
        <f t="shared" si="7"/>
        <v>…..</v>
      </c>
      <c r="K3" s="142">
        <f t="shared" si="8"/>
        <v>-1</v>
      </c>
      <c r="L3" s="141" t="str">
        <f t="shared" si="9"/>
        <v>…..giờ…..</v>
      </c>
      <c r="M3" s="141" t="str">
        <f t="shared" si="10"/>
        <v>…..giờ…..</v>
      </c>
      <c r="N3" s="141" t="str">
        <f t="shared" si="11"/>
        <v>…..</v>
      </c>
      <c r="O3" s="141" t="str">
        <f t="shared" si="12"/>
        <v>…..</v>
      </c>
      <c r="P3" s="142">
        <f t="shared" si="13"/>
        <v>0</v>
      </c>
      <c r="Q3" s="141" t="str">
        <f t="shared" si="14"/>
        <v>Nguyễn Xuân Quỳnh</v>
      </c>
      <c r="R3" s="141" t="str">
        <f t="shared" si="15"/>
        <v>Lê Văn Thái</v>
      </c>
      <c r="T3" s="317" t="s">
        <v>1595</v>
      </c>
      <c r="U3" s="175">
        <f t="shared" si="16"/>
        <v>27.25</v>
      </c>
      <c r="W3" s="186">
        <f t="shared" si="17"/>
        <v>0.28999999999999998</v>
      </c>
      <c r="X3" s="176">
        <f t="shared" ref="X3:X5" si="19">U3*W3</f>
        <v>7.9024999999999999</v>
      </c>
      <c r="Y3" s="186">
        <f t="shared" ref="Y3:Y11" si="20">VLOOKUP($B3,$AK$3:$AN$5,2,0)</f>
        <v>230.02</v>
      </c>
      <c r="Z3" s="186">
        <f t="shared" ref="Z3:Z11" si="21">VLOOKUP($B3,$AK$3:$AN$5,3,0)</f>
        <v>1.1200000000000001</v>
      </c>
      <c r="AA3" s="186">
        <f t="shared" si="18"/>
        <v>550</v>
      </c>
      <c r="AC3" s="176">
        <f t="shared" ref="AC3:AC5" si="22">ROUND($X3*Y3,2)</f>
        <v>1817.73</v>
      </c>
      <c r="AD3" s="176">
        <f t="shared" ref="AD3:AD5" si="23">ROUND($X3*Z3,2)</f>
        <v>8.85</v>
      </c>
      <c r="AE3" s="176">
        <f t="shared" ref="AE3:AE5" si="24">ROUND($U3*AA3,2)</f>
        <v>14987.5</v>
      </c>
      <c r="AG3" s="177">
        <v>0</v>
      </c>
      <c r="AH3" s="177">
        <v>0</v>
      </c>
      <c r="AI3" s="177">
        <v>0</v>
      </c>
      <c r="AK3" s="150" t="s">
        <v>1635</v>
      </c>
      <c r="AL3" s="159">
        <v>230.02</v>
      </c>
      <c r="AM3" s="159">
        <v>1.1200000000000001</v>
      </c>
      <c r="AN3" s="159">
        <v>260</v>
      </c>
      <c r="AO3" s="161"/>
      <c r="AP3" s="150" t="s">
        <v>1372</v>
      </c>
      <c r="AQ3" s="159" t="s">
        <v>1481</v>
      </c>
      <c r="AR3" s="159">
        <v>550</v>
      </c>
    </row>
    <row r="4" spans="1:45" ht="31.5">
      <c r="A4" s="186">
        <v>3</v>
      </c>
      <c r="B4" s="312" t="str">
        <f t="shared" si="0"/>
        <v>Mác 50</v>
      </c>
      <c r="C4" s="186" t="s">
        <v>1472</v>
      </c>
      <c r="D4" s="140" t="str">
        <f t="shared" si="1"/>
        <v>Vật liệu trước khi xây tường, xây cột (từ cốt lanh tô đến cốt +3.60)</v>
      </c>
      <c r="E4" s="141" t="str">
        <f t="shared" si="2"/>
        <v>Nhà tiểu học 3 phòng</v>
      </c>
      <c r="F4" s="141" t="str">
        <f t="shared" si="3"/>
        <v>Điểm TĐC Pom Chốn</v>
      </c>
      <c r="G4" s="141" t="str">
        <f t="shared" si="4"/>
        <v>7/VLTH3PC</v>
      </c>
      <c r="H4" s="141" t="str">
        <f t="shared" si="5"/>
        <v>7/VLTH3PC</v>
      </c>
      <c r="I4" s="141" t="str">
        <f t="shared" si="6"/>
        <v>…..</v>
      </c>
      <c r="J4" s="141" t="str">
        <f t="shared" si="7"/>
        <v>…..</v>
      </c>
      <c r="K4" s="142">
        <f t="shared" si="8"/>
        <v>-1</v>
      </c>
      <c r="L4" s="141" t="str">
        <f t="shared" si="9"/>
        <v>…..giờ…..</v>
      </c>
      <c r="M4" s="141" t="str">
        <f t="shared" si="10"/>
        <v>…..giờ…..</v>
      </c>
      <c r="N4" s="141" t="str">
        <f t="shared" si="11"/>
        <v>…..</v>
      </c>
      <c r="O4" s="141" t="str">
        <f t="shared" si="12"/>
        <v>…..</v>
      </c>
      <c r="P4" s="142">
        <f t="shared" si="13"/>
        <v>0</v>
      </c>
      <c r="Q4" s="141" t="str">
        <f t="shared" si="14"/>
        <v>Nguyễn Xuân Quỳnh</v>
      </c>
      <c r="R4" s="141" t="str">
        <f t="shared" si="15"/>
        <v>Lê Văn Thái</v>
      </c>
      <c r="T4" s="177" t="s">
        <v>1596</v>
      </c>
      <c r="U4" s="175">
        <f t="shared" si="16"/>
        <v>19.37</v>
      </c>
      <c r="W4" s="186">
        <f t="shared" si="17"/>
        <v>0.28999999999999998</v>
      </c>
      <c r="X4" s="176">
        <f t="shared" si="19"/>
        <v>5.6173000000000002</v>
      </c>
      <c r="Y4" s="186">
        <f t="shared" si="20"/>
        <v>230.02</v>
      </c>
      <c r="Z4" s="186">
        <f t="shared" si="21"/>
        <v>1.1200000000000001</v>
      </c>
      <c r="AA4" s="186">
        <f t="shared" si="18"/>
        <v>550</v>
      </c>
      <c r="AC4" s="176">
        <f t="shared" si="22"/>
        <v>1292.0899999999999</v>
      </c>
      <c r="AD4" s="176">
        <f t="shared" si="23"/>
        <v>6.29</v>
      </c>
      <c r="AE4" s="176">
        <f t="shared" si="24"/>
        <v>10653.5</v>
      </c>
      <c r="AG4" s="177">
        <v>0</v>
      </c>
      <c r="AH4" s="177">
        <v>0</v>
      </c>
      <c r="AI4" s="177">
        <v>0</v>
      </c>
      <c r="AK4" s="150" t="s">
        <v>1634</v>
      </c>
      <c r="AL4" s="159">
        <v>296.02999999999997</v>
      </c>
      <c r="AM4" s="159">
        <v>1.1200000000000001</v>
      </c>
      <c r="AN4" s="159">
        <v>260</v>
      </c>
      <c r="AO4" s="161"/>
      <c r="AP4" s="150" t="s">
        <v>1632</v>
      </c>
      <c r="AQ4" s="159">
        <v>0.23</v>
      </c>
      <c r="AR4" s="159">
        <v>0.28999999999999998</v>
      </c>
    </row>
    <row r="5" spans="1:45" ht="31.5">
      <c r="A5" s="186">
        <v>4</v>
      </c>
      <c r="B5" s="312" t="str">
        <f t="shared" si="0"/>
        <v>Mác 75</v>
      </c>
      <c r="C5" s="186" t="s">
        <v>1475</v>
      </c>
      <c r="D5" s="140" t="str">
        <f t="shared" si="1"/>
        <v>Vật liệu trước khi xây tường thu hồi, tường chắn mái</v>
      </c>
      <c r="E5" s="141" t="str">
        <f t="shared" si="2"/>
        <v>Nhà tiểu học 3 phòng</v>
      </c>
      <c r="F5" s="141" t="str">
        <f t="shared" si="3"/>
        <v>Điểm TĐC Pom Chốn</v>
      </c>
      <c r="G5" s="141" t="str">
        <f t="shared" si="4"/>
        <v>9/VLTH3PC</v>
      </c>
      <c r="H5" s="141" t="str">
        <f t="shared" si="5"/>
        <v>9/VLTH3PC</v>
      </c>
      <c r="I5" s="141" t="str">
        <f t="shared" si="6"/>
        <v>…..</v>
      </c>
      <c r="J5" s="141" t="str">
        <f t="shared" si="7"/>
        <v>…..</v>
      </c>
      <c r="K5" s="142">
        <f t="shared" si="8"/>
        <v>-1</v>
      </c>
      <c r="L5" s="141" t="str">
        <f t="shared" si="9"/>
        <v>…..giờ…..</v>
      </c>
      <c r="M5" s="141" t="str">
        <f t="shared" si="10"/>
        <v>…..giờ…..</v>
      </c>
      <c r="N5" s="141" t="str">
        <f t="shared" si="11"/>
        <v>…..</v>
      </c>
      <c r="O5" s="141" t="str">
        <f t="shared" si="12"/>
        <v>…..</v>
      </c>
      <c r="P5" s="142">
        <f t="shared" si="13"/>
        <v>0</v>
      </c>
      <c r="Q5" s="141" t="str">
        <f t="shared" si="14"/>
        <v>..........................................</v>
      </c>
      <c r="R5" s="141" t="str">
        <f t="shared" si="15"/>
        <v>Lê Văn Thái</v>
      </c>
      <c r="T5" s="177" t="s">
        <v>1597</v>
      </c>
      <c r="U5" s="175">
        <f t="shared" si="16"/>
        <v>11.2</v>
      </c>
      <c r="W5" s="186">
        <f t="shared" si="17"/>
        <v>0.28999999999999998</v>
      </c>
      <c r="X5" s="176">
        <f t="shared" si="19"/>
        <v>3.2479999999999998</v>
      </c>
      <c r="Y5" s="186">
        <f t="shared" si="20"/>
        <v>296.02999999999997</v>
      </c>
      <c r="Z5" s="186">
        <f t="shared" si="21"/>
        <v>1.1200000000000001</v>
      </c>
      <c r="AA5" s="186">
        <f t="shared" si="18"/>
        <v>550</v>
      </c>
      <c r="AC5" s="176">
        <f t="shared" si="22"/>
        <v>961.51</v>
      </c>
      <c r="AD5" s="176">
        <f t="shared" si="23"/>
        <v>3.64</v>
      </c>
      <c r="AE5" s="176">
        <f t="shared" si="24"/>
        <v>6160</v>
      </c>
      <c r="AG5" s="177">
        <v>0</v>
      </c>
      <c r="AH5" s="177">
        <v>0</v>
      </c>
      <c r="AI5" s="177">
        <v>0</v>
      </c>
      <c r="AK5" s="150" t="s">
        <v>1636</v>
      </c>
      <c r="AL5" s="159">
        <v>385.04</v>
      </c>
      <c r="AM5" s="159">
        <v>1.0900000000000001</v>
      </c>
      <c r="AN5" s="159">
        <v>260</v>
      </c>
      <c r="AO5" s="327"/>
      <c r="AP5" s="328" t="s">
        <v>1478</v>
      </c>
      <c r="AQ5" s="329">
        <v>1.2</v>
      </c>
      <c r="AR5" s="159"/>
    </row>
    <row r="6" spans="1:45">
      <c r="A6" s="186">
        <v>5</v>
      </c>
      <c r="B6" s="312">
        <f t="shared" si="0"/>
        <v>0</v>
      </c>
      <c r="C6" s="186" t="s">
        <v>1485</v>
      </c>
      <c r="D6" s="140" t="e">
        <f t="shared" si="1"/>
        <v>#N/A</v>
      </c>
      <c r="E6" s="141" t="e">
        <f t="shared" si="2"/>
        <v>#N/A</v>
      </c>
      <c r="F6" s="141" t="e">
        <f t="shared" si="3"/>
        <v>#N/A</v>
      </c>
      <c r="G6" s="141" t="e">
        <f t="shared" si="4"/>
        <v>#N/A</v>
      </c>
      <c r="H6" s="141" t="e">
        <f t="shared" si="5"/>
        <v>#N/A</v>
      </c>
      <c r="I6" s="141" t="e">
        <f t="shared" si="6"/>
        <v>#N/A</v>
      </c>
      <c r="J6" s="141" t="e">
        <f t="shared" si="7"/>
        <v>#N/A</v>
      </c>
      <c r="K6" s="142" t="e">
        <f t="shared" si="8"/>
        <v>#N/A</v>
      </c>
      <c r="L6" s="141" t="e">
        <f t="shared" si="9"/>
        <v>#N/A</v>
      </c>
      <c r="M6" s="141" t="e">
        <f t="shared" si="10"/>
        <v>#N/A</v>
      </c>
      <c r="N6" s="141" t="e">
        <f t="shared" si="11"/>
        <v>#N/A</v>
      </c>
      <c r="O6" s="141" t="e">
        <f t="shared" si="12"/>
        <v>#N/A</v>
      </c>
      <c r="P6" s="142" t="e">
        <f t="shared" si="13"/>
        <v>#N/A</v>
      </c>
      <c r="Q6" s="141" t="e">
        <f t="shared" si="14"/>
        <v>#N/A</v>
      </c>
      <c r="R6" s="141" t="e">
        <f t="shared" si="15"/>
        <v>#N/A</v>
      </c>
      <c r="T6" s="177" t="s">
        <v>1598</v>
      </c>
      <c r="U6" s="175">
        <f t="shared" si="16"/>
        <v>0</v>
      </c>
      <c r="W6" s="186">
        <f t="shared" si="17"/>
        <v>0</v>
      </c>
      <c r="X6" s="176">
        <f t="shared" ref="X6:X7" si="25">U6*W6</f>
        <v>0</v>
      </c>
      <c r="Y6" s="186" t="e">
        <f t="shared" si="20"/>
        <v>#N/A</v>
      </c>
      <c r="Z6" s="186" t="e">
        <f t="shared" si="21"/>
        <v>#N/A</v>
      </c>
      <c r="AA6" s="186">
        <f t="shared" si="18"/>
        <v>0</v>
      </c>
      <c r="AC6" s="176" t="e">
        <f t="shared" ref="AC6:AC7" si="26">ROUND($X6*Y6,2)</f>
        <v>#N/A</v>
      </c>
      <c r="AD6" s="176" t="e">
        <f t="shared" ref="AD6:AD7" si="27">ROUND($X6*Z6,2)</f>
        <v>#N/A</v>
      </c>
      <c r="AE6" s="176">
        <f t="shared" ref="AE6:AE7" si="28">ROUND($U6*AA6,2)</f>
        <v>0</v>
      </c>
      <c r="AG6" s="177">
        <v>0</v>
      </c>
      <c r="AH6" s="177">
        <v>0</v>
      </c>
      <c r="AI6" s="177">
        <v>0</v>
      </c>
      <c r="AP6" s="328" t="s">
        <v>1633</v>
      </c>
      <c r="AQ6" s="328">
        <v>0.42</v>
      </c>
      <c r="AR6" s="159"/>
    </row>
    <row r="7" spans="1:45">
      <c r="A7" s="186">
        <v>6</v>
      </c>
      <c r="B7" s="312">
        <f t="shared" si="0"/>
        <v>0</v>
      </c>
      <c r="C7" s="186" t="s">
        <v>1488</v>
      </c>
      <c r="D7" s="140" t="e">
        <f t="shared" si="1"/>
        <v>#N/A</v>
      </c>
      <c r="E7" s="141" t="e">
        <f t="shared" si="2"/>
        <v>#N/A</v>
      </c>
      <c r="F7" s="141" t="e">
        <f t="shared" si="3"/>
        <v>#N/A</v>
      </c>
      <c r="G7" s="141" t="e">
        <f t="shared" si="4"/>
        <v>#N/A</v>
      </c>
      <c r="H7" s="141" t="e">
        <f t="shared" si="5"/>
        <v>#N/A</v>
      </c>
      <c r="I7" s="141" t="e">
        <f t="shared" si="6"/>
        <v>#N/A</v>
      </c>
      <c r="J7" s="141" t="e">
        <f t="shared" si="7"/>
        <v>#N/A</v>
      </c>
      <c r="K7" s="142" t="e">
        <f t="shared" si="8"/>
        <v>#N/A</v>
      </c>
      <c r="L7" s="141" t="e">
        <f t="shared" si="9"/>
        <v>#N/A</v>
      </c>
      <c r="M7" s="141" t="e">
        <f t="shared" si="10"/>
        <v>#N/A</v>
      </c>
      <c r="N7" s="141" t="e">
        <f t="shared" si="11"/>
        <v>#N/A</v>
      </c>
      <c r="O7" s="141" t="e">
        <f t="shared" si="12"/>
        <v>#N/A</v>
      </c>
      <c r="P7" s="142" t="e">
        <f t="shared" si="13"/>
        <v>#N/A</v>
      </c>
      <c r="Q7" s="141" t="e">
        <f t="shared" si="14"/>
        <v>#N/A</v>
      </c>
      <c r="R7" s="141" t="e">
        <f t="shared" si="15"/>
        <v>#N/A</v>
      </c>
      <c r="T7" s="177" t="s">
        <v>1599</v>
      </c>
      <c r="U7" s="175">
        <f t="shared" si="16"/>
        <v>0</v>
      </c>
      <c r="W7" s="186">
        <f t="shared" si="17"/>
        <v>0</v>
      </c>
      <c r="X7" s="176">
        <f t="shared" si="25"/>
        <v>0</v>
      </c>
      <c r="Y7" s="186" t="e">
        <f t="shared" si="20"/>
        <v>#N/A</v>
      </c>
      <c r="Z7" s="186" t="e">
        <f t="shared" si="21"/>
        <v>#N/A</v>
      </c>
      <c r="AA7" s="186">
        <f t="shared" si="18"/>
        <v>0</v>
      </c>
      <c r="AC7" s="176" t="e">
        <f t="shared" si="26"/>
        <v>#N/A</v>
      </c>
      <c r="AD7" s="176" t="e">
        <f t="shared" si="27"/>
        <v>#N/A</v>
      </c>
      <c r="AE7" s="176">
        <f t="shared" si="28"/>
        <v>0</v>
      </c>
      <c r="AG7" s="177">
        <v>0</v>
      </c>
      <c r="AH7" s="177">
        <v>0</v>
      </c>
      <c r="AI7" s="177">
        <v>0</v>
      </c>
    </row>
    <row r="8" spans="1:45">
      <c r="A8" s="186">
        <v>7</v>
      </c>
      <c r="B8" s="312">
        <f t="shared" si="0"/>
        <v>0</v>
      </c>
      <c r="C8" s="186" t="s">
        <v>1655</v>
      </c>
      <c r="D8" s="140" t="e">
        <f t="shared" si="1"/>
        <v>#N/A</v>
      </c>
      <c r="E8" s="141" t="e">
        <f t="shared" si="2"/>
        <v>#N/A</v>
      </c>
      <c r="F8" s="141" t="e">
        <f t="shared" si="3"/>
        <v>#N/A</v>
      </c>
      <c r="G8" s="141" t="e">
        <f t="shared" si="4"/>
        <v>#N/A</v>
      </c>
      <c r="H8" s="141" t="e">
        <f t="shared" si="5"/>
        <v>#N/A</v>
      </c>
      <c r="I8" s="141" t="e">
        <f t="shared" si="6"/>
        <v>#N/A</v>
      </c>
      <c r="J8" s="141" t="e">
        <f t="shared" si="7"/>
        <v>#N/A</v>
      </c>
      <c r="K8" s="142" t="e">
        <f t="shared" si="8"/>
        <v>#N/A</v>
      </c>
      <c r="L8" s="141" t="e">
        <f t="shared" si="9"/>
        <v>#N/A</v>
      </c>
      <c r="M8" s="141" t="e">
        <f t="shared" si="10"/>
        <v>#N/A</v>
      </c>
      <c r="N8" s="141" t="e">
        <f t="shared" si="11"/>
        <v>#N/A</v>
      </c>
      <c r="O8" s="141" t="e">
        <f t="shared" si="12"/>
        <v>#N/A</v>
      </c>
      <c r="P8" s="142" t="e">
        <f t="shared" si="13"/>
        <v>#N/A</v>
      </c>
      <c r="Q8" s="141" t="e">
        <f t="shared" si="14"/>
        <v>#N/A</v>
      </c>
      <c r="R8" s="141" t="e">
        <f t="shared" si="15"/>
        <v>#N/A</v>
      </c>
      <c r="T8" s="177" t="s">
        <v>1599</v>
      </c>
      <c r="U8" s="175">
        <f t="shared" si="16"/>
        <v>0</v>
      </c>
      <c r="W8" s="186">
        <f t="shared" si="17"/>
        <v>0</v>
      </c>
      <c r="X8" s="176">
        <f t="shared" ref="X8:X10" si="29">U8*W8</f>
        <v>0</v>
      </c>
      <c r="Y8" s="186" t="e">
        <f t="shared" si="20"/>
        <v>#N/A</v>
      </c>
      <c r="Z8" s="186" t="e">
        <f t="shared" si="21"/>
        <v>#N/A</v>
      </c>
      <c r="AA8" s="186">
        <f t="shared" si="18"/>
        <v>0</v>
      </c>
      <c r="AC8" s="176" t="e">
        <f t="shared" ref="AC8:AC10" si="30">ROUND($X8*Y8,2)</f>
        <v>#N/A</v>
      </c>
      <c r="AD8" s="176" t="e">
        <f t="shared" ref="AD8:AD10" si="31">ROUND($X8*Z8,2)</f>
        <v>#N/A</v>
      </c>
      <c r="AE8" s="176">
        <f t="shared" ref="AE8:AE10" si="32">ROUND($U8*AA8,2)</f>
        <v>0</v>
      </c>
      <c r="AG8" s="177"/>
      <c r="AH8" s="177"/>
      <c r="AI8" s="177"/>
    </row>
    <row r="9" spans="1:45">
      <c r="A9" s="186">
        <v>8</v>
      </c>
      <c r="B9" s="312">
        <f t="shared" si="0"/>
        <v>0</v>
      </c>
      <c r="C9" s="186" t="s">
        <v>1656</v>
      </c>
      <c r="D9" s="140" t="e">
        <f t="shared" si="1"/>
        <v>#N/A</v>
      </c>
      <c r="E9" s="141" t="e">
        <f t="shared" si="2"/>
        <v>#N/A</v>
      </c>
      <c r="F9" s="141" t="e">
        <f t="shared" si="3"/>
        <v>#N/A</v>
      </c>
      <c r="G9" s="141" t="e">
        <f t="shared" si="4"/>
        <v>#N/A</v>
      </c>
      <c r="H9" s="141" t="e">
        <f t="shared" si="5"/>
        <v>#N/A</v>
      </c>
      <c r="I9" s="141" t="e">
        <f t="shared" si="6"/>
        <v>#N/A</v>
      </c>
      <c r="J9" s="141" t="e">
        <f t="shared" si="7"/>
        <v>#N/A</v>
      </c>
      <c r="K9" s="142" t="e">
        <f t="shared" si="8"/>
        <v>#N/A</v>
      </c>
      <c r="L9" s="141" t="e">
        <f t="shared" si="9"/>
        <v>#N/A</v>
      </c>
      <c r="M9" s="141" t="e">
        <f t="shared" si="10"/>
        <v>#N/A</v>
      </c>
      <c r="N9" s="141" t="e">
        <f t="shared" si="11"/>
        <v>#N/A</v>
      </c>
      <c r="O9" s="141" t="e">
        <f t="shared" si="12"/>
        <v>#N/A</v>
      </c>
      <c r="P9" s="142" t="e">
        <f t="shared" si="13"/>
        <v>#N/A</v>
      </c>
      <c r="Q9" s="141" t="e">
        <f t="shared" si="14"/>
        <v>#N/A</v>
      </c>
      <c r="R9" s="141" t="e">
        <f t="shared" si="15"/>
        <v>#N/A</v>
      </c>
      <c r="T9" s="177" t="s">
        <v>1599</v>
      </c>
      <c r="U9" s="175">
        <f t="shared" si="16"/>
        <v>0</v>
      </c>
      <c r="W9" s="186">
        <f t="shared" si="17"/>
        <v>0</v>
      </c>
      <c r="X9" s="176">
        <f t="shared" si="29"/>
        <v>0</v>
      </c>
      <c r="Y9" s="186" t="e">
        <f t="shared" si="20"/>
        <v>#N/A</v>
      </c>
      <c r="Z9" s="186" t="e">
        <f t="shared" si="21"/>
        <v>#N/A</v>
      </c>
      <c r="AA9" s="186">
        <f t="shared" si="18"/>
        <v>0</v>
      </c>
      <c r="AC9" s="176" t="e">
        <f t="shared" si="30"/>
        <v>#N/A</v>
      </c>
      <c r="AD9" s="176" t="e">
        <f t="shared" si="31"/>
        <v>#N/A</v>
      </c>
      <c r="AE9" s="176">
        <f t="shared" si="32"/>
        <v>0</v>
      </c>
    </row>
    <row r="10" spans="1:45">
      <c r="A10" s="186">
        <v>9</v>
      </c>
      <c r="B10" s="312">
        <f t="shared" si="0"/>
        <v>0</v>
      </c>
      <c r="C10" s="186" t="s">
        <v>1657</v>
      </c>
      <c r="D10" s="140" t="e">
        <f t="shared" si="1"/>
        <v>#N/A</v>
      </c>
      <c r="E10" s="141" t="e">
        <f t="shared" si="2"/>
        <v>#N/A</v>
      </c>
      <c r="F10" s="141" t="e">
        <f t="shared" si="3"/>
        <v>#N/A</v>
      </c>
      <c r="G10" s="141" t="e">
        <f t="shared" si="4"/>
        <v>#N/A</v>
      </c>
      <c r="H10" s="141" t="e">
        <f t="shared" si="5"/>
        <v>#N/A</v>
      </c>
      <c r="I10" s="141" t="e">
        <f t="shared" si="6"/>
        <v>#N/A</v>
      </c>
      <c r="J10" s="141" t="e">
        <f t="shared" si="7"/>
        <v>#N/A</v>
      </c>
      <c r="K10" s="142" t="e">
        <f t="shared" si="8"/>
        <v>#N/A</v>
      </c>
      <c r="L10" s="141" t="e">
        <f t="shared" si="9"/>
        <v>#N/A</v>
      </c>
      <c r="M10" s="141" t="e">
        <f t="shared" si="10"/>
        <v>#N/A</v>
      </c>
      <c r="N10" s="141" t="e">
        <f t="shared" si="11"/>
        <v>#N/A</v>
      </c>
      <c r="O10" s="141" t="e">
        <f t="shared" si="12"/>
        <v>#N/A</v>
      </c>
      <c r="P10" s="142" t="e">
        <f t="shared" si="13"/>
        <v>#N/A</v>
      </c>
      <c r="Q10" s="141" t="e">
        <f t="shared" si="14"/>
        <v>#N/A</v>
      </c>
      <c r="R10" s="141" t="e">
        <f t="shared" si="15"/>
        <v>#N/A</v>
      </c>
      <c r="T10" s="177" t="s">
        <v>1599</v>
      </c>
      <c r="U10" s="175">
        <f t="shared" si="16"/>
        <v>0</v>
      </c>
      <c r="W10" s="186">
        <f t="shared" si="17"/>
        <v>0</v>
      </c>
      <c r="X10" s="176">
        <f t="shared" si="29"/>
        <v>0</v>
      </c>
      <c r="Y10" s="186" t="e">
        <f t="shared" si="20"/>
        <v>#N/A</v>
      </c>
      <c r="Z10" s="186" t="e">
        <f t="shared" si="21"/>
        <v>#N/A</v>
      </c>
      <c r="AA10" s="186">
        <f t="shared" si="18"/>
        <v>0</v>
      </c>
      <c r="AC10" s="176" t="e">
        <f t="shared" si="30"/>
        <v>#N/A</v>
      </c>
      <c r="AD10" s="176" t="e">
        <f t="shared" si="31"/>
        <v>#N/A</v>
      </c>
      <c r="AE10" s="176">
        <f t="shared" si="32"/>
        <v>0</v>
      </c>
    </row>
    <row r="11" spans="1:45" s="141" customFormat="1">
      <c r="A11" s="186">
        <v>10</v>
      </c>
      <c r="B11" s="312">
        <f t="shared" si="0"/>
        <v>0</v>
      </c>
      <c r="C11" s="186" t="s">
        <v>1844</v>
      </c>
      <c r="D11" s="140" t="e">
        <f t="shared" si="1"/>
        <v>#N/A</v>
      </c>
      <c r="E11" s="141" t="e">
        <f t="shared" si="2"/>
        <v>#N/A</v>
      </c>
      <c r="F11" s="141" t="e">
        <f t="shared" si="3"/>
        <v>#N/A</v>
      </c>
      <c r="G11" s="141" t="e">
        <f t="shared" si="4"/>
        <v>#N/A</v>
      </c>
      <c r="H11" s="141" t="e">
        <f t="shared" si="5"/>
        <v>#N/A</v>
      </c>
      <c r="I11" s="141" t="e">
        <f t="shared" si="6"/>
        <v>#N/A</v>
      </c>
      <c r="J11" s="141" t="e">
        <f t="shared" si="7"/>
        <v>#N/A</v>
      </c>
      <c r="K11" s="142" t="e">
        <f t="shared" si="8"/>
        <v>#N/A</v>
      </c>
      <c r="L11" s="141" t="e">
        <f t="shared" si="9"/>
        <v>#N/A</v>
      </c>
      <c r="M11" s="141" t="e">
        <f t="shared" si="10"/>
        <v>#N/A</v>
      </c>
      <c r="N11" s="141" t="e">
        <f t="shared" si="11"/>
        <v>#N/A</v>
      </c>
      <c r="O11" s="141" t="e">
        <f t="shared" si="12"/>
        <v>#N/A</v>
      </c>
      <c r="P11" s="142" t="e">
        <f t="shared" si="13"/>
        <v>#N/A</v>
      </c>
      <c r="Q11" s="141" t="e">
        <f t="shared" si="14"/>
        <v>#N/A</v>
      </c>
      <c r="R11" s="141" t="e">
        <f t="shared" si="15"/>
        <v>#N/A</v>
      </c>
      <c r="S11" s="165"/>
      <c r="T11" s="177" t="s">
        <v>1599</v>
      </c>
      <c r="U11" s="175">
        <f t="shared" si="16"/>
        <v>0</v>
      </c>
      <c r="V11" s="165"/>
      <c r="W11" s="186">
        <f t="shared" si="17"/>
        <v>0</v>
      </c>
      <c r="X11" s="176">
        <f t="shared" ref="X11" si="33">U11*W11</f>
        <v>0</v>
      </c>
      <c r="Y11" s="186" t="e">
        <f t="shared" si="20"/>
        <v>#N/A</v>
      </c>
      <c r="Z11" s="186" t="e">
        <f t="shared" si="21"/>
        <v>#N/A</v>
      </c>
      <c r="AA11" s="186">
        <f t="shared" si="18"/>
        <v>0</v>
      </c>
      <c r="AB11" s="165"/>
      <c r="AC11" s="176" t="e">
        <f t="shared" ref="AC11" si="34">ROUND($X11*Y11,2)</f>
        <v>#N/A</v>
      </c>
      <c r="AD11" s="176" t="e">
        <f t="shared" ref="AD11" si="35">ROUND($X11*Z11,2)</f>
        <v>#N/A</v>
      </c>
      <c r="AE11" s="176">
        <f t="shared" ref="AE11" si="36">ROUND($U11*AA11,2)</f>
        <v>0</v>
      </c>
      <c r="AF11" s="164"/>
      <c r="AJ11" s="173"/>
      <c r="AO11" s="164"/>
      <c r="AS11" s="173"/>
    </row>
    <row r="12" spans="1:45" s="141" customFormat="1">
      <c r="C12" s="139"/>
      <c r="G12" s="154"/>
      <c r="I12" s="139"/>
      <c r="J12" s="139"/>
      <c r="K12" s="142"/>
      <c r="N12" s="139"/>
      <c r="O12" s="139"/>
      <c r="P12" s="142"/>
      <c r="S12" s="164"/>
      <c r="V12" s="164"/>
      <c r="AB12" s="164"/>
      <c r="AF12" s="164"/>
      <c r="AJ12" s="173"/>
      <c r="AO12" s="164"/>
      <c r="AS12" s="173"/>
    </row>
    <row r="13" spans="1:45" s="141" customFormat="1">
      <c r="C13" s="139"/>
      <c r="G13" s="154"/>
      <c r="I13" s="139"/>
      <c r="J13" s="139"/>
      <c r="K13" s="142"/>
      <c r="N13" s="139"/>
      <c r="O13" s="139"/>
      <c r="P13" s="142"/>
      <c r="S13" s="164"/>
      <c r="V13" s="164"/>
      <c r="AB13" s="164"/>
      <c r="AF13" s="164"/>
      <c r="AJ13" s="173"/>
      <c r="AO13" s="164"/>
      <c r="AS13" s="173"/>
    </row>
    <row r="14" spans="1:45" s="141" customFormat="1">
      <c r="C14" s="139"/>
      <c r="G14" s="154"/>
      <c r="I14" s="139"/>
      <c r="J14" s="139"/>
      <c r="K14" s="142"/>
      <c r="N14" s="139"/>
      <c r="O14" s="139"/>
      <c r="P14" s="142"/>
      <c r="S14" s="164"/>
      <c r="V14" s="164"/>
      <c r="AB14" s="164"/>
      <c r="AF14" s="164"/>
      <c r="AJ14" s="173"/>
      <c r="AO14" s="164"/>
      <c r="AS14" s="173"/>
    </row>
    <row r="15" spans="1:45" s="141" customFormat="1">
      <c r="C15" s="139"/>
      <c r="G15" s="154"/>
      <c r="I15" s="139"/>
      <c r="J15" s="139"/>
      <c r="K15" s="142"/>
      <c r="N15" s="139"/>
      <c r="O15" s="139"/>
      <c r="P15" s="142"/>
      <c r="S15" s="164"/>
      <c r="V15" s="164"/>
      <c r="AB15" s="164"/>
      <c r="AF15" s="164"/>
      <c r="AJ15" s="173"/>
      <c r="AO15" s="164"/>
      <c r="AS15" s="173"/>
    </row>
    <row r="16" spans="1:45" s="141" customFormat="1">
      <c r="A16" s="141">
        <v>1</v>
      </c>
      <c r="B16" s="141">
        <v>2</v>
      </c>
      <c r="C16" s="139">
        <v>3</v>
      </c>
      <c r="D16" s="141">
        <v>4</v>
      </c>
      <c r="E16" s="186">
        <v>5</v>
      </c>
      <c r="F16" s="141">
        <v>6</v>
      </c>
      <c r="G16" s="186">
        <v>7</v>
      </c>
      <c r="H16" s="141">
        <v>8</v>
      </c>
      <c r="I16" s="186">
        <v>9</v>
      </c>
      <c r="J16" s="141">
        <v>10</v>
      </c>
      <c r="K16" s="186">
        <v>11</v>
      </c>
      <c r="L16" s="141">
        <v>12</v>
      </c>
      <c r="M16" s="186">
        <v>13</v>
      </c>
      <c r="N16" s="141">
        <v>14</v>
      </c>
      <c r="O16" s="186">
        <v>15</v>
      </c>
      <c r="P16" s="141">
        <v>16</v>
      </c>
      <c r="Q16" s="186">
        <v>17</v>
      </c>
      <c r="R16" s="141">
        <v>18</v>
      </c>
      <c r="S16" s="186">
        <v>19</v>
      </c>
      <c r="T16" s="141">
        <v>20</v>
      </c>
      <c r="U16" s="186">
        <v>21</v>
      </c>
      <c r="V16" s="141">
        <v>22</v>
      </c>
      <c r="W16" s="186">
        <v>23</v>
      </c>
      <c r="X16" s="141">
        <v>24</v>
      </c>
      <c r="Y16" s="186">
        <v>25</v>
      </c>
      <c r="Z16" s="141">
        <v>26</v>
      </c>
      <c r="AA16" s="186">
        <v>27</v>
      </c>
      <c r="AB16" s="141">
        <v>28</v>
      </c>
      <c r="AC16" s="186">
        <v>29</v>
      </c>
      <c r="AD16" s="141">
        <v>30</v>
      </c>
      <c r="AE16" s="186">
        <v>31</v>
      </c>
      <c r="AF16" s="141">
        <v>32</v>
      </c>
      <c r="AG16" s="186">
        <v>33</v>
      </c>
      <c r="AH16" s="141">
        <v>34</v>
      </c>
      <c r="AI16" s="186">
        <v>35</v>
      </c>
      <c r="AJ16" s="173">
        <v>36</v>
      </c>
      <c r="AO16" s="164"/>
      <c r="AS16" s="173"/>
    </row>
    <row r="17" spans="3:45" s="141" customFormat="1">
      <c r="C17" s="139"/>
      <c r="G17" s="154"/>
      <c r="I17" s="139"/>
      <c r="J17" s="139"/>
      <c r="K17" s="142"/>
      <c r="N17" s="139"/>
      <c r="O17" s="139"/>
      <c r="P17" s="142"/>
      <c r="S17" s="164"/>
      <c r="V17" s="164"/>
      <c r="AB17" s="164"/>
      <c r="AF17" s="164"/>
      <c r="AJ17" s="173"/>
      <c r="AO17" s="164"/>
      <c r="AS17" s="173"/>
    </row>
    <row r="18" spans="3:45">
      <c r="G18" s="154"/>
      <c r="K18" s="142"/>
      <c r="P18" s="142"/>
    </row>
    <row r="19" spans="3:45">
      <c r="G19" s="154"/>
      <c r="K19" s="142"/>
      <c r="P19" s="142"/>
    </row>
    <row r="20" spans="3:45">
      <c r="G20" s="154"/>
      <c r="K20" s="142"/>
      <c r="P20" s="142"/>
    </row>
    <row r="21" spans="3:45">
      <c r="G21" s="154"/>
      <c r="K21" s="142"/>
      <c r="P21" s="142"/>
    </row>
    <row r="22" spans="3:45">
      <c r="G22" s="154"/>
      <c r="K22" s="142"/>
      <c r="P22" s="142"/>
    </row>
    <row r="23" spans="3:45">
      <c r="G23" s="154"/>
      <c r="K23" s="142"/>
      <c r="P23" s="142"/>
    </row>
    <row r="24" spans="3:45">
      <c r="G24" s="154"/>
      <c r="K24" s="142"/>
      <c r="P24" s="142"/>
    </row>
    <row r="25" spans="3:45">
      <c r="K25" s="142"/>
      <c r="P25" s="142"/>
    </row>
    <row r="26" spans="3:45">
      <c r="K26" s="142"/>
      <c r="P26" s="142"/>
    </row>
    <row r="27" spans="3:45">
      <c r="K27" s="142"/>
      <c r="P27" s="142"/>
    </row>
    <row r="28" spans="3:45">
      <c r="E28" s="139"/>
      <c r="G28" s="139"/>
      <c r="H28" s="139"/>
      <c r="J28" s="141"/>
      <c r="K28" s="142"/>
      <c r="M28" s="141"/>
      <c r="O28" s="141"/>
      <c r="P28" s="142"/>
    </row>
    <row r="29" spans="3:45">
      <c r="K29" s="142"/>
      <c r="P29" s="142"/>
    </row>
    <row r="30" spans="3:45">
      <c r="K30" s="142"/>
      <c r="P30" s="142"/>
    </row>
    <row r="31" spans="3:45">
      <c r="K31" s="142"/>
      <c r="P31" s="142"/>
    </row>
    <row r="32" spans="3:45">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mergeCells count="1">
    <mergeCell ref="AP1:AR1"/>
  </mergeCells>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F1551"/>
  <sheetViews>
    <sheetView zoomScale="85" zoomScaleNormal="85" workbookViewId="0">
      <pane xSplit="4" topLeftCell="E1" activePane="topRight" state="frozen"/>
      <selection activeCell="AN16" sqref="AN16"/>
      <selection pane="topRight" activeCell="D13" sqref="D13"/>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7.125" style="141" bestFit="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9" width="19.5" style="139" customWidth="1"/>
    <col min="20" max="22" width="14.5" style="139" customWidth="1"/>
    <col min="23" max="26" width="9" style="139"/>
    <col min="27" max="27" width="6.25" style="139" customWidth="1"/>
    <col min="28" max="16384" width="9" style="139"/>
  </cols>
  <sheetData>
    <row r="1" spans="1:32"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c r="S1" s="153" t="s">
        <v>1110</v>
      </c>
      <c r="T1" s="150" t="s">
        <v>1113</v>
      </c>
      <c r="U1" s="150" t="s">
        <v>1114</v>
      </c>
      <c r="V1" s="150" t="s">
        <v>1115</v>
      </c>
      <c r="W1" s="159"/>
      <c r="X1" s="159"/>
      <c r="Y1" s="159"/>
      <c r="Z1" s="159"/>
      <c r="AA1" s="184" t="s">
        <v>1144</v>
      </c>
      <c r="AB1" s="163" t="s">
        <v>1375</v>
      </c>
      <c r="AC1" s="163" t="s">
        <v>1199</v>
      </c>
    </row>
    <row r="2" spans="1:32" ht="32.25" customHeight="1" thickTop="1">
      <c r="A2" s="139">
        <v>1</v>
      </c>
      <c r="C2" s="139" t="s">
        <v>1470</v>
      </c>
      <c r="D2" s="140" t="str">
        <f t="shared" ref="D2:D11" si="0">VLOOKUP($C2,TUANBV,2,0)</f>
        <v>Lấy mẫu vữa xi măng xây móng đá hộc</v>
      </c>
      <c r="E2" s="141" t="str">
        <f t="shared" ref="E2:E11" si="1">VLOOKUP($C2,TUANBV,3,0)</f>
        <v>Nhà tiểu học 3 phòng</v>
      </c>
      <c r="F2" s="141" t="str">
        <f t="shared" ref="F2:F11" si="2">VLOOKUP($C2,TUANBV,4,0)</f>
        <v>Điểm TĐC Pom Chốn</v>
      </c>
      <c r="G2" s="141" t="str">
        <f t="shared" ref="G2:G11" si="3">VLOOKUP($C2,TUANBV,5,0)</f>
        <v>3/LMTH3PC</v>
      </c>
      <c r="H2" s="141" t="str">
        <f t="shared" ref="H2:H11" si="4">VLOOKUP($C2,TUANBV,6,0)</f>
        <v>3/LMTH3PC</v>
      </c>
      <c r="I2" s="141" t="str">
        <f t="shared" ref="I2:I11" si="5">VLOOKUP($C2,TUANBV,7,0)</f>
        <v>23</v>
      </c>
      <c r="J2" s="141" t="str">
        <f t="shared" ref="J2:J11" si="6">VLOOKUP($C2,TUANBV,8,0)</f>
        <v>08</v>
      </c>
      <c r="K2" s="142">
        <f t="shared" ref="K2:K11" si="7">VLOOKUP($C2,TUANBV,9,0)</f>
        <v>41874</v>
      </c>
      <c r="L2" s="141" t="str">
        <f t="shared" ref="L2:L11" si="8">VLOOKUP($C2,TUANBV,10,0)</f>
        <v>09 giờ 00</v>
      </c>
      <c r="M2" s="141" t="str">
        <f t="shared" ref="M2:M11" si="9">VLOOKUP($C2,TUANBV,11,0)</f>
        <v>10 giờ 00</v>
      </c>
      <c r="N2" s="141" t="str">
        <f t="shared" ref="N2:N11" si="10">VLOOKUP($C2,TUANBV,12,0)</f>
        <v>24</v>
      </c>
      <c r="O2" s="141" t="str">
        <f t="shared" ref="O2:O11" si="11">VLOOKUP($C2,TUANBV,13,0)</f>
        <v>08</v>
      </c>
      <c r="P2" s="142">
        <f t="shared" ref="P2:P11" si="12">VLOOKUP($C2,TUANBV,14,0)</f>
        <v>41875</v>
      </c>
      <c r="Q2" s="141" t="str">
        <f t="shared" ref="Q2:Q11" si="13">VLOOKUP($C2,TUANBV,15,0)</f>
        <v>Nguyễn Xuân Quỳnh</v>
      </c>
      <c r="R2" s="141" t="str">
        <f t="shared" ref="R2:R11" si="14">VLOOKUP($C2,TUANBV,16,0)</f>
        <v>Lê Văn Thái</v>
      </c>
      <c r="S2" s="141" t="s">
        <v>1111</v>
      </c>
      <c r="T2" s="139" t="str">
        <f>W$2&amp;"/"&amp;$Z2&amp;"/"&amp;$AA2</f>
        <v>1/TH3PC/M75</v>
      </c>
      <c r="U2" s="186" t="str">
        <f t="shared" ref="U2:V2" si="15">X$2&amp;"/"&amp;$Z2&amp;"/"&amp;$AA2</f>
        <v>2/TH3PC/M75</v>
      </c>
      <c r="V2" s="186" t="str">
        <f t="shared" si="15"/>
        <v>3/TH3PC/M75</v>
      </c>
      <c r="W2" s="186">
        <f t="shared" ref="W2:W11" si="16">VLOOKUP($A2,BANGXAY,6,0)</f>
        <v>1</v>
      </c>
      <c r="X2" s="139">
        <f t="shared" ref="X2:X11" si="17">VLOOKUP($A2,BANGXAY,7,0)</f>
        <v>2</v>
      </c>
      <c r="Y2" s="186">
        <f t="shared" ref="Y2:Y11" si="18">VLOOKUP($A2,BANGXAY,8,0)</f>
        <v>3</v>
      </c>
      <c r="Z2" s="139" t="str">
        <f>'7.LMBT'!$AB$2</f>
        <v>TH3PC</v>
      </c>
      <c r="AA2" s="186" t="str">
        <f>"M"&amp;RIGHT('9.VL XAY'!B2,2)</f>
        <v>M75</v>
      </c>
      <c r="AB2" s="186" t="str">
        <f t="shared" ref="AB2:AB11" si="19">VLOOKUP($A2,BANGXAY,9,0)</f>
        <v>Đá hộc</v>
      </c>
      <c r="AC2" s="139" t="str">
        <f>IF(AB2=$AD$2,$AE$2,"viên")</f>
        <v>m3</v>
      </c>
      <c r="AD2" s="159" t="s">
        <v>1478</v>
      </c>
      <c r="AE2" s="159" t="s">
        <v>1274</v>
      </c>
      <c r="AF2" s="159" t="s">
        <v>1479</v>
      </c>
    </row>
    <row r="3" spans="1:32" ht="31.5">
      <c r="A3" s="139">
        <v>2</v>
      </c>
      <c r="C3" s="186" t="s">
        <v>1146</v>
      </c>
      <c r="D3" s="140" t="str">
        <f t="shared" si="0"/>
        <v>Lấy mẫu vữa xi măng xây tường, xây cột, mác 50# (từ cốt 0.00 đến cốt lanh tô)</v>
      </c>
      <c r="E3" s="141" t="str">
        <f t="shared" si="1"/>
        <v>Nhà tiểu học 3 phòng</v>
      </c>
      <c r="F3" s="141" t="str">
        <f t="shared" si="2"/>
        <v>Điểm TĐC Pom Chốn</v>
      </c>
      <c r="G3" s="141" t="str">
        <f t="shared" si="3"/>
        <v>5/LMTH3PC</v>
      </c>
      <c r="H3" s="141" t="str">
        <f t="shared" si="4"/>
        <v>5/LMTH3PC</v>
      </c>
      <c r="I3" s="141" t="str">
        <f t="shared" si="5"/>
        <v>…..</v>
      </c>
      <c r="J3" s="141" t="str">
        <f t="shared" si="6"/>
        <v>…..</v>
      </c>
      <c r="K3" s="142">
        <f t="shared" si="7"/>
        <v>-1</v>
      </c>
      <c r="L3" s="141" t="str">
        <f t="shared" si="8"/>
        <v>…..giờ…..</v>
      </c>
      <c r="M3" s="141" t="str">
        <f t="shared" si="9"/>
        <v>…..giờ…..</v>
      </c>
      <c r="N3" s="141" t="str">
        <f t="shared" si="10"/>
        <v>…..</v>
      </c>
      <c r="O3" s="141" t="str">
        <f t="shared" si="11"/>
        <v>…..</v>
      </c>
      <c r="P3" s="142">
        <f t="shared" si="12"/>
        <v>0</v>
      </c>
      <c r="Q3" s="141" t="str">
        <f t="shared" si="13"/>
        <v>Nguyễn Xuân Quỳnh</v>
      </c>
      <c r="R3" s="141" t="str">
        <f t="shared" si="14"/>
        <v>Lê Văn Thái</v>
      </c>
      <c r="S3" s="141" t="s">
        <v>1111</v>
      </c>
      <c r="T3" s="186" t="str">
        <f t="shared" ref="T3:T5" si="20">W$2&amp;"/"&amp;$Z3&amp;"/"&amp;$AA3</f>
        <v>1/TH3PC/M50</v>
      </c>
      <c r="U3" s="186" t="str">
        <f t="shared" ref="U3:U5" si="21">X$2&amp;"/"&amp;$Z3&amp;"/"&amp;$AA3</f>
        <v>2/TH3PC/M50</v>
      </c>
      <c r="V3" s="186" t="str">
        <f t="shared" ref="V3:V5" si="22">Y$2&amp;"/"&amp;$Z3&amp;"/"&amp;$AA3</f>
        <v>3/TH3PC/M50</v>
      </c>
      <c r="W3" s="186">
        <f t="shared" si="16"/>
        <v>4</v>
      </c>
      <c r="X3" s="186">
        <f t="shared" si="17"/>
        <v>5</v>
      </c>
      <c r="Y3" s="186">
        <f t="shared" si="18"/>
        <v>6</v>
      </c>
      <c r="Z3" s="186" t="str">
        <f>Z2</f>
        <v>TH3PC</v>
      </c>
      <c r="AA3" s="186" t="str">
        <f>"M"&amp;RIGHT('9.VL XAY'!B3,2)</f>
        <v>M50</v>
      </c>
      <c r="AB3" s="186" t="str">
        <f t="shared" si="19"/>
        <v>Gạch</v>
      </c>
      <c r="AC3" s="186" t="str">
        <f t="shared" ref="AC3:AC7" si="23">IF(AB3=$AD$2,$AE$2,"viên")</f>
        <v>viên</v>
      </c>
      <c r="AD3" s="159" t="s">
        <v>1372</v>
      </c>
      <c r="AE3" s="159" t="s">
        <v>1480</v>
      </c>
      <c r="AF3" s="159" t="s">
        <v>1172</v>
      </c>
    </row>
    <row r="4" spans="1:32" ht="31.5">
      <c r="A4" s="186">
        <v>3</v>
      </c>
      <c r="C4" s="186" t="s">
        <v>1473</v>
      </c>
      <c r="D4" s="140" t="str">
        <f t="shared" si="0"/>
        <v>Lấy mẫu vữa xi măng xây tường, xây cột, mác 50# (từ cốt lanh tô đến cốt +3.60)</v>
      </c>
      <c r="E4" s="141" t="str">
        <f t="shared" si="1"/>
        <v>Nhà tiểu học 3 phòng</v>
      </c>
      <c r="F4" s="141" t="str">
        <f t="shared" si="2"/>
        <v>Điểm TĐC Pom Chốn</v>
      </c>
      <c r="G4" s="141" t="str">
        <f t="shared" si="3"/>
        <v>7/LMTH3PC</v>
      </c>
      <c r="H4" s="141" t="str">
        <f t="shared" si="4"/>
        <v>7/LMTH3PC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c r="S4" s="141" t="s">
        <v>1111</v>
      </c>
      <c r="T4" s="186" t="str">
        <f t="shared" si="20"/>
        <v>1/TH3PC/M50</v>
      </c>
      <c r="U4" s="186" t="str">
        <f t="shared" si="21"/>
        <v>2/TH3PC/M50</v>
      </c>
      <c r="V4" s="186" t="str">
        <f t="shared" si="22"/>
        <v>3/TH3PC/M50</v>
      </c>
      <c r="W4" s="186">
        <f t="shared" si="16"/>
        <v>7</v>
      </c>
      <c r="X4" s="186">
        <f t="shared" si="17"/>
        <v>8</v>
      </c>
      <c r="Y4" s="186">
        <f t="shared" si="18"/>
        <v>9</v>
      </c>
      <c r="Z4" s="186" t="str">
        <f>Z3</f>
        <v>TH3PC</v>
      </c>
      <c r="AA4" s="186" t="str">
        <f>"M"&amp;RIGHT('9.VL XAY'!B4,2)</f>
        <v>M50</v>
      </c>
      <c r="AB4" s="186" t="str">
        <f t="shared" si="19"/>
        <v>Gạch</v>
      </c>
      <c r="AC4" s="186" t="str">
        <f t="shared" si="23"/>
        <v>viên</v>
      </c>
    </row>
    <row r="5" spans="1:32" ht="31.5">
      <c r="A5" s="186">
        <v>4</v>
      </c>
      <c r="C5" s="186" t="s">
        <v>1476</v>
      </c>
      <c r="D5" s="140" t="str">
        <f t="shared" si="0"/>
        <v>Lấy mẫu vữa xi măng mác 75#, xây tường thu hồi, tường chắn mái</v>
      </c>
      <c r="E5" s="141" t="str">
        <f t="shared" si="1"/>
        <v>Nhà tiểu học 3 phòng</v>
      </c>
      <c r="F5" s="141" t="str">
        <f t="shared" si="2"/>
        <v>Điểm TĐC Pom Chốn</v>
      </c>
      <c r="G5" s="141" t="str">
        <f t="shared" si="3"/>
        <v>9/LMTH3PC</v>
      </c>
      <c r="H5" s="141" t="str">
        <f t="shared" si="4"/>
        <v>9/LMTH3PC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c r="S5" s="141" t="s">
        <v>1111</v>
      </c>
      <c r="T5" s="186" t="str">
        <f t="shared" si="20"/>
        <v>1/TH3PC/M75</v>
      </c>
      <c r="U5" s="186" t="str">
        <f t="shared" si="21"/>
        <v>2/TH3PC/M75</v>
      </c>
      <c r="V5" s="186" t="str">
        <f t="shared" si="22"/>
        <v>3/TH3PC/M75</v>
      </c>
      <c r="W5" s="186">
        <f t="shared" si="16"/>
        <v>10</v>
      </c>
      <c r="X5" s="186">
        <f t="shared" si="17"/>
        <v>11</v>
      </c>
      <c r="Y5" s="186">
        <f t="shared" si="18"/>
        <v>12</v>
      </c>
      <c r="Z5" s="186" t="str">
        <f t="shared" ref="Z5:Z6" si="24">Z4</f>
        <v>TH3PC</v>
      </c>
      <c r="AA5" s="186" t="str">
        <f>"M"&amp;RIGHT('9.VL XAY'!B5,2)</f>
        <v>M75</v>
      </c>
      <c r="AB5" s="186" t="str">
        <f t="shared" si="19"/>
        <v>Gạch</v>
      </c>
      <c r="AC5" s="186" t="str">
        <f t="shared" si="23"/>
        <v>viên</v>
      </c>
    </row>
    <row r="6" spans="1:32">
      <c r="A6" s="186">
        <v>5</v>
      </c>
      <c r="C6" s="186" t="s">
        <v>1486</v>
      </c>
      <c r="D6" s="140" t="e">
        <f t="shared" si="0"/>
        <v>#N/A</v>
      </c>
      <c r="E6" s="141" t="e">
        <f t="shared" si="1"/>
        <v>#N/A</v>
      </c>
      <c r="F6" s="141" t="e">
        <f t="shared" si="2"/>
        <v>#N/A</v>
      </c>
      <c r="G6" s="141" t="e">
        <f t="shared" si="3"/>
        <v>#N/A</v>
      </c>
      <c r="H6" s="141" t="e">
        <f t="shared" si="4"/>
        <v>#N/A</v>
      </c>
      <c r="I6" s="141" t="e">
        <f t="shared" si="5"/>
        <v>#N/A</v>
      </c>
      <c r="J6" s="141" t="e">
        <f t="shared" si="6"/>
        <v>#N/A</v>
      </c>
      <c r="K6" s="142" t="e">
        <f t="shared" si="7"/>
        <v>#N/A</v>
      </c>
      <c r="L6" s="141" t="e">
        <f t="shared" si="8"/>
        <v>#N/A</v>
      </c>
      <c r="M6" s="141" t="e">
        <f t="shared" si="9"/>
        <v>#N/A</v>
      </c>
      <c r="N6" s="141" t="e">
        <f t="shared" si="10"/>
        <v>#N/A</v>
      </c>
      <c r="O6" s="141" t="e">
        <f t="shared" si="11"/>
        <v>#N/A</v>
      </c>
      <c r="P6" s="142" t="e">
        <f t="shared" si="12"/>
        <v>#N/A</v>
      </c>
      <c r="Q6" s="141" t="e">
        <f t="shared" si="13"/>
        <v>#N/A</v>
      </c>
      <c r="R6" s="141" t="e">
        <f t="shared" si="14"/>
        <v>#N/A</v>
      </c>
      <c r="S6" s="141" t="s">
        <v>1111</v>
      </c>
      <c r="T6" s="186" t="str">
        <f t="shared" ref="T6" si="25">W$2&amp;"/"&amp;$Z6&amp;"/"&amp;$AA6</f>
        <v>1/TH3PC/M0</v>
      </c>
      <c r="U6" s="186" t="str">
        <f t="shared" ref="U6" si="26">X$2&amp;"/"&amp;$Z6&amp;"/"&amp;$AA6</f>
        <v>2/TH3PC/M0</v>
      </c>
      <c r="V6" s="186" t="str">
        <f t="shared" ref="V6" si="27">Y$2&amp;"/"&amp;$Z6&amp;"/"&amp;$AA6</f>
        <v>3/TH3PC/M0</v>
      </c>
      <c r="W6" s="186">
        <f t="shared" si="16"/>
        <v>0</v>
      </c>
      <c r="X6" s="186">
        <f t="shared" si="17"/>
        <v>0</v>
      </c>
      <c r="Y6" s="186">
        <f t="shared" si="18"/>
        <v>0</v>
      </c>
      <c r="Z6" s="186" t="str">
        <f t="shared" si="24"/>
        <v>TH3PC</v>
      </c>
      <c r="AA6" s="186" t="str">
        <f>"M"&amp;RIGHT('9.VL XAY'!B6,2)</f>
        <v>M0</v>
      </c>
      <c r="AB6" s="186">
        <f t="shared" si="19"/>
        <v>0</v>
      </c>
      <c r="AC6" s="186" t="str">
        <f t="shared" si="23"/>
        <v>viên</v>
      </c>
    </row>
    <row r="7" spans="1:32">
      <c r="A7" s="186">
        <v>6</v>
      </c>
      <c r="C7" s="186" t="s">
        <v>1489</v>
      </c>
      <c r="D7" s="140" t="e">
        <f t="shared" si="0"/>
        <v>#N/A</v>
      </c>
      <c r="E7" s="141" t="e">
        <f t="shared" si="1"/>
        <v>#N/A</v>
      </c>
      <c r="F7" s="141" t="e">
        <f t="shared" si="2"/>
        <v>#N/A</v>
      </c>
      <c r="G7" s="141" t="e">
        <f t="shared" si="3"/>
        <v>#N/A</v>
      </c>
      <c r="H7" s="141" t="e">
        <f t="shared" si="4"/>
        <v>#N/A</v>
      </c>
      <c r="I7" s="141" t="e">
        <f t="shared" si="5"/>
        <v>#N/A</v>
      </c>
      <c r="J7" s="141" t="e">
        <f t="shared" si="6"/>
        <v>#N/A</v>
      </c>
      <c r="K7" s="142" t="e">
        <f t="shared" si="7"/>
        <v>#N/A</v>
      </c>
      <c r="L7" s="141" t="e">
        <f t="shared" si="8"/>
        <v>#N/A</v>
      </c>
      <c r="M7" s="141" t="e">
        <f t="shared" si="9"/>
        <v>#N/A</v>
      </c>
      <c r="N7" s="141" t="e">
        <f t="shared" si="10"/>
        <v>#N/A</v>
      </c>
      <c r="O7" s="141" t="e">
        <f t="shared" si="11"/>
        <v>#N/A</v>
      </c>
      <c r="P7" s="142" t="e">
        <f t="shared" si="12"/>
        <v>#N/A</v>
      </c>
      <c r="Q7" s="141" t="e">
        <f t="shared" si="13"/>
        <v>#N/A</v>
      </c>
      <c r="R7" s="141" t="e">
        <f t="shared" si="14"/>
        <v>#N/A</v>
      </c>
      <c r="S7" s="141" t="s">
        <v>1111</v>
      </c>
      <c r="T7" s="186" t="str">
        <f t="shared" ref="T7" si="28">W$2&amp;"/"&amp;$Z7&amp;"/"&amp;$AA7</f>
        <v>1/TH3PC/M0</v>
      </c>
      <c r="U7" s="186" t="str">
        <f t="shared" ref="U7" si="29">X$2&amp;"/"&amp;$Z7&amp;"/"&amp;$AA7</f>
        <v>2/TH3PC/M0</v>
      </c>
      <c r="V7" s="186" t="str">
        <f t="shared" ref="V7" si="30">Y$2&amp;"/"&amp;$Z7&amp;"/"&amp;$AA7</f>
        <v>3/TH3PC/M0</v>
      </c>
      <c r="W7" s="186">
        <f t="shared" si="16"/>
        <v>0</v>
      </c>
      <c r="X7" s="186">
        <f t="shared" si="17"/>
        <v>0</v>
      </c>
      <c r="Y7" s="186">
        <f t="shared" si="18"/>
        <v>0</v>
      </c>
      <c r="Z7" s="186" t="str">
        <f>Z6</f>
        <v>TH3PC</v>
      </c>
      <c r="AA7" s="186" t="str">
        <f>"M"&amp;RIGHT('9.VL XAY'!B7,2)</f>
        <v>M0</v>
      </c>
      <c r="AB7" s="186">
        <f t="shared" si="19"/>
        <v>0</v>
      </c>
      <c r="AC7" s="186" t="str">
        <f t="shared" si="23"/>
        <v>viên</v>
      </c>
    </row>
    <row r="8" spans="1:32">
      <c r="A8" s="186">
        <v>7</v>
      </c>
      <c r="B8" s="186"/>
      <c r="C8" s="186" t="s">
        <v>1736</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c r="S8" s="141" t="s">
        <v>1111</v>
      </c>
      <c r="T8" s="186" t="str">
        <f t="shared" ref="T8:T10" si="31">W$2&amp;"/"&amp;$Z8&amp;"/"&amp;$AA8</f>
        <v>1/TH3PC/M0</v>
      </c>
      <c r="U8" s="186" t="str">
        <f t="shared" ref="U8:U10" si="32">X$2&amp;"/"&amp;$Z8&amp;"/"&amp;$AA8</f>
        <v>2/TH3PC/M0</v>
      </c>
      <c r="V8" s="186" t="str">
        <f t="shared" ref="V8:V10" si="33">Y$2&amp;"/"&amp;$Z8&amp;"/"&amp;$AA8</f>
        <v>3/TH3PC/M0</v>
      </c>
      <c r="W8" s="186">
        <f t="shared" si="16"/>
        <v>0</v>
      </c>
      <c r="X8" s="186">
        <f t="shared" si="17"/>
        <v>0</v>
      </c>
      <c r="Y8" s="186">
        <f t="shared" si="18"/>
        <v>0</v>
      </c>
      <c r="Z8" s="186" t="str">
        <f t="shared" ref="Z8:Z11" si="34">Z7</f>
        <v>TH3PC</v>
      </c>
      <c r="AA8" s="186" t="str">
        <f>"M"&amp;RIGHT('9.VL XAY'!B8,2)</f>
        <v>M0</v>
      </c>
      <c r="AB8" s="186">
        <f t="shared" si="19"/>
        <v>0</v>
      </c>
      <c r="AC8" s="186" t="str">
        <f t="shared" ref="AC8:AC10" si="35">IF(AB8=$AD$2,$AE$2,"viên")</f>
        <v>viên</v>
      </c>
    </row>
    <row r="9" spans="1:32">
      <c r="A9" s="186">
        <v>8</v>
      </c>
      <c r="B9" s="186"/>
      <c r="C9" s="186" t="s">
        <v>1737</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c r="S9" s="141" t="s">
        <v>1111</v>
      </c>
      <c r="T9" s="186" t="str">
        <f t="shared" si="31"/>
        <v>1/TH3PC/M0</v>
      </c>
      <c r="U9" s="186" t="str">
        <f t="shared" si="32"/>
        <v>2/TH3PC/M0</v>
      </c>
      <c r="V9" s="186" t="str">
        <f t="shared" si="33"/>
        <v>3/TH3PC/M0</v>
      </c>
      <c r="W9" s="186">
        <f t="shared" si="16"/>
        <v>0</v>
      </c>
      <c r="X9" s="186">
        <f t="shared" si="17"/>
        <v>0</v>
      </c>
      <c r="Y9" s="186">
        <f t="shared" si="18"/>
        <v>0</v>
      </c>
      <c r="Z9" s="186" t="str">
        <f t="shared" si="34"/>
        <v>TH3PC</v>
      </c>
      <c r="AA9" s="186" t="str">
        <f>"M"&amp;RIGHT('9.VL XAY'!B9,2)</f>
        <v>M0</v>
      </c>
      <c r="AB9" s="186">
        <f t="shared" si="19"/>
        <v>0</v>
      </c>
      <c r="AC9" s="186" t="str">
        <f t="shared" si="35"/>
        <v>viên</v>
      </c>
    </row>
    <row r="10" spans="1:32">
      <c r="A10" s="186">
        <v>9</v>
      </c>
      <c r="B10" s="186"/>
      <c r="C10" s="186" t="s">
        <v>1738</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c r="S10" s="141" t="s">
        <v>1111</v>
      </c>
      <c r="T10" s="186" t="str">
        <f t="shared" si="31"/>
        <v>1/TH3PC/M0</v>
      </c>
      <c r="U10" s="186" t="str">
        <f t="shared" si="32"/>
        <v>2/TH3PC/M0</v>
      </c>
      <c r="V10" s="186" t="str">
        <f t="shared" si="33"/>
        <v>3/TH3PC/M0</v>
      </c>
      <c r="W10" s="186">
        <f t="shared" si="16"/>
        <v>0</v>
      </c>
      <c r="X10" s="186">
        <f t="shared" si="17"/>
        <v>0</v>
      </c>
      <c r="Y10" s="186">
        <f t="shared" si="18"/>
        <v>0</v>
      </c>
      <c r="Z10" s="186" t="str">
        <f t="shared" si="34"/>
        <v>TH3PC</v>
      </c>
      <c r="AA10" s="186" t="str">
        <f>"M"&amp;RIGHT('9.VL XAY'!B10,2)</f>
        <v>M0</v>
      </c>
      <c r="AB10" s="186">
        <f t="shared" si="19"/>
        <v>0</v>
      </c>
      <c r="AC10" s="186" t="str">
        <f t="shared" si="35"/>
        <v>viên</v>
      </c>
    </row>
    <row r="11" spans="1:32" s="141" customFormat="1">
      <c r="A11" s="186">
        <v>10</v>
      </c>
      <c r="B11" s="186"/>
      <c r="C11" s="186" t="s">
        <v>1845</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c r="S11" s="141" t="s">
        <v>1111</v>
      </c>
      <c r="T11" s="186" t="str">
        <f t="shared" ref="T11" si="36">W$2&amp;"/"&amp;$Z11&amp;"/"&amp;$AA11</f>
        <v>1/TH3PC/M0</v>
      </c>
      <c r="U11" s="186" t="str">
        <f t="shared" ref="U11" si="37">X$2&amp;"/"&amp;$Z11&amp;"/"&amp;$AA11</f>
        <v>2/TH3PC/M0</v>
      </c>
      <c r="V11" s="186" t="str">
        <f t="shared" ref="V11" si="38">Y$2&amp;"/"&amp;$Z11&amp;"/"&amp;$AA11</f>
        <v>3/TH3PC/M0</v>
      </c>
      <c r="W11" s="186">
        <f t="shared" si="16"/>
        <v>0</v>
      </c>
      <c r="X11" s="186">
        <f t="shared" si="17"/>
        <v>0</v>
      </c>
      <c r="Y11" s="186">
        <f t="shared" si="18"/>
        <v>0</v>
      </c>
      <c r="Z11" s="186" t="str">
        <f t="shared" si="34"/>
        <v>TH3PC</v>
      </c>
      <c r="AA11" s="186" t="str">
        <f>"M"&amp;RIGHT('9.VL XAY'!B11,2)</f>
        <v>M0</v>
      </c>
      <c r="AB11" s="186">
        <f t="shared" si="19"/>
        <v>0</v>
      </c>
      <c r="AC11" s="186" t="str">
        <f t="shared" ref="AC11" si="39">IF(AB11=$AD$2,$AE$2,"viên")</f>
        <v>viên</v>
      </c>
    </row>
    <row r="12" spans="1:32" s="141" customFormat="1">
      <c r="C12" s="139"/>
      <c r="G12" s="154"/>
      <c r="I12" s="139"/>
      <c r="J12" s="139"/>
      <c r="K12" s="142"/>
      <c r="N12" s="139"/>
      <c r="O12" s="139"/>
      <c r="P12" s="142"/>
      <c r="AB12" s="469" t="s">
        <v>1637</v>
      </c>
      <c r="AC12" s="469" t="s">
        <v>1638</v>
      </c>
    </row>
    <row r="13" spans="1:32" s="141" customFormat="1">
      <c r="C13" s="139"/>
      <c r="G13" s="154"/>
      <c r="I13" s="139"/>
      <c r="J13" s="139"/>
      <c r="K13" s="142"/>
      <c r="N13" s="139"/>
      <c r="O13" s="139"/>
      <c r="P13" s="142"/>
      <c r="AB13" s="469"/>
      <c r="AC13" s="469"/>
    </row>
    <row r="14" spans="1:32" s="141" customFormat="1">
      <c r="C14" s="139"/>
      <c r="G14" s="154"/>
      <c r="I14" s="139"/>
      <c r="J14" s="139"/>
      <c r="K14" s="142"/>
      <c r="N14" s="139"/>
      <c r="O14" s="139"/>
      <c r="P14" s="142"/>
      <c r="AB14" s="469"/>
      <c r="AC14" s="469"/>
    </row>
    <row r="15" spans="1:32" s="141" customFormat="1">
      <c r="C15" s="139"/>
      <c r="G15" s="154"/>
      <c r="I15" s="139"/>
      <c r="J15" s="139"/>
      <c r="K15" s="142"/>
      <c r="N15" s="139"/>
      <c r="O15" s="139"/>
      <c r="P15" s="142"/>
    </row>
    <row r="16" spans="1:32" s="141" customFormat="1">
      <c r="C16" s="139"/>
      <c r="G16" s="154"/>
      <c r="I16" s="139"/>
      <c r="J16" s="139"/>
      <c r="K16" s="142"/>
      <c r="N16" s="139"/>
      <c r="O16" s="139"/>
      <c r="P16" s="142"/>
    </row>
    <row r="17" spans="3:16" s="141" customFormat="1">
      <c r="C17" s="139"/>
      <c r="G17" s="154"/>
      <c r="I17" s="139"/>
      <c r="J17" s="139"/>
      <c r="K17" s="142"/>
      <c r="N17" s="139"/>
      <c r="O17" s="139"/>
      <c r="P17" s="142"/>
    </row>
    <row r="18" spans="3:16">
      <c r="G18" s="154"/>
      <c r="K18" s="142"/>
      <c r="P18" s="142"/>
    </row>
    <row r="19" spans="3:16">
      <c r="G19" s="154"/>
      <c r="K19" s="142"/>
      <c r="P19" s="142"/>
    </row>
    <row r="20" spans="3:16">
      <c r="G20" s="154"/>
      <c r="K20" s="142"/>
      <c r="P20" s="142"/>
    </row>
    <row r="21" spans="3:16">
      <c r="G21" s="154"/>
      <c r="K21" s="142"/>
      <c r="P21" s="142"/>
    </row>
    <row r="22" spans="3:16">
      <c r="G22" s="154"/>
      <c r="K22" s="142"/>
      <c r="P22" s="142"/>
    </row>
    <row r="23" spans="3:16">
      <c r="G23" s="154"/>
      <c r="K23" s="142"/>
      <c r="P23" s="142"/>
    </row>
    <row r="24" spans="3:16">
      <c r="G24" s="154"/>
      <c r="K24" s="142"/>
      <c r="P24" s="142"/>
    </row>
    <row r="25" spans="3:16">
      <c r="K25" s="142"/>
      <c r="P25" s="142"/>
    </row>
    <row r="26" spans="3:16">
      <c r="K26" s="142"/>
      <c r="P26" s="142"/>
    </row>
    <row r="27" spans="3:16">
      <c r="K27" s="142"/>
      <c r="P27" s="142"/>
    </row>
    <row r="28" spans="3:16">
      <c r="E28" s="139"/>
      <c r="G28" s="139"/>
      <c r="H28" s="139"/>
      <c r="J28" s="141"/>
      <c r="K28" s="142"/>
      <c r="M28" s="141"/>
      <c r="O28" s="141"/>
      <c r="P28" s="142"/>
    </row>
    <row r="29" spans="3:16">
      <c r="K29" s="142"/>
      <c r="P29" s="142"/>
    </row>
    <row r="30" spans="3:16">
      <c r="K30" s="142"/>
      <c r="P30" s="142"/>
    </row>
    <row r="31" spans="3:16">
      <c r="K31" s="142"/>
      <c r="P31" s="142"/>
    </row>
    <row r="32" spans="3:16">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mergeCells count="2">
    <mergeCell ref="AB12:AB14"/>
    <mergeCell ref="AC12:AC14"/>
  </mergeCells>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R1551"/>
  <sheetViews>
    <sheetView zoomScale="85" zoomScaleNormal="85" workbookViewId="0">
      <pane xSplit="4" ySplit="1" topLeftCell="K2" activePane="bottomRight" state="frozen"/>
      <selection activeCell="AN16" sqref="AN16"/>
      <selection pane="topRight" activeCell="AN16" sqref="AN16"/>
      <selection pane="bottomLeft" activeCell="AN16" sqref="AN16"/>
      <selection pane="bottomRight" activeCell="D16" sqref="D16"/>
    </sheetView>
  </sheetViews>
  <sheetFormatPr defaultRowHeight="15.75"/>
  <cols>
    <col min="1" max="1" width="5.5" style="139" customWidth="1"/>
    <col min="2" max="2" width="11" style="139" hidden="1" customWidth="1"/>
    <col min="3" max="3" width="10.125" style="139" bestFit="1" customWidth="1"/>
    <col min="4" max="4" width="64.75" style="141" customWidth="1"/>
    <col min="5" max="5" width="27.125" style="141" bestFit="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10.625" style="139"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6384" width="9" style="139"/>
  </cols>
  <sheetData>
    <row r="1" spans="1:18"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8" ht="32.25" customHeight="1" thickTop="1">
      <c r="A2" s="139">
        <v>1</v>
      </c>
      <c r="C2" s="139" t="s">
        <v>1471</v>
      </c>
      <c r="D2" s="140" t="str">
        <f t="shared" ref="D2:D11" si="0">VLOOKUP($C2,TUANBV,2,0)</f>
        <v>Xây móng nhà bằng đá hộc, vữa xi măng mác 75#</v>
      </c>
      <c r="E2" s="141" t="str">
        <f t="shared" ref="E2:E11" si="1">VLOOKUP($C2,TUANBV,3,0)</f>
        <v>Nhà tiểu học 3 phòng</v>
      </c>
      <c r="F2" s="141" t="str">
        <f t="shared" ref="F2:F11" si="2">VLOOKUP($C2,TUANBV,4,0)</f>
        <v>Điểm TĐC Pom Chốn</v>
      </c>
      <c r="G2" s="141" t="str">
        <f t="shared" ref="G2:G11" si="3">VLOOKUP($C2,TUANBV,5,0)</f>
        <v>3/XAYTH3PC</v>
      </c>
      <c r="H2" s="141" t="str">
        <f t="shared" ref="H2:H11" si="4">VLOOKUP($C2,TUANBV,6,0)</f>
        <v>3/XAYTH3PC</v>
      </c>
      <c r="I2" s="141" t="str">
        <f t="shared" ref="I2:I11" si="5">VLOOKUP($C2,TUANBV,7,0)</f>
        <v>25</v>
      </c>
      <c r="J2" s="141" t="str">
        <f t="shared" ref="J2:J11" si="6">VLOOKUP($C2,TUANBV,8,0)</f>
        <v>08</v>
      </c>
      <c r="K2" s="142">
        <f t="shared" ref="K2:K11" si="7">VLOOKUP($C2,TUANBV,9,0)</f>
        <v>41876</v>
      </c>
      <c r="L2" s="141" t="str">
        <f t="shared" ref="L2:L11" si="8">VLOOKUP($C2,TUANBV,10,0)</f>
        <v>16 giờ 00</v>
      </c>
      <c r="M2" s="141" t="str">
        <f t="shared" ref="M2:M11" si="9">VLOOKUP($C2,TUANBV,11,0)</f>
        <v>17 giờ 00</v>
      </c>
      <c r="N2" s="141" t="str">
        <f t="shared" ref="N2:N11" si="10">VLOOKUP($C2,TUANBV,12,0)</f>
        <v>26</v>
      </c>
      <c r="O2" s="141" t="str">
        <f t="shared" ref="O2:O11" si="11">VLOOKUP($C2,TUANBV,13,0)</f>
        <v>08</v>
      </c>
      <c r="P2" s="142">
        <f t="shared" ref="P2:P11" si="12">VLOOKUP($C2,TUANBV,14,0)</f>
        <v>41877</v>
      </c>
      <c r="Q2" s="141" t="str">
        <f t="shared" ref="Q2:Q11" si="13">VLOOKUP($C2,TUANBV,15,0)</f>
        <v>Nguyễn Xuân Quỳnh</v>
      </c>
      <c r="R2" s="141" t="str">
        <f t="shared" ref="R2:R11" si="14">VLOOKUP($C2,TUANBV,16,0)</f>
        <v>Lê Văn Thái</v>
      </c>
    </row>
    <row r="3" spans="1:18" ht="31.5">
      <c r="A3" s="139">
        <v>2</v>
      </c>
      <c r="C3" s="186" t="s">
        <v>1147</v>
      </c>
      <c r="D3" s="140" t="str">
        <f t="shared" si="0"/>
        <v>Nghiệm thu công tác xây tường nhà bằng gạch chỉ đặc, vữa xi măng mác 50# (từ cốt 0.00 đến cốt lanh tô)</v>
      </c>
      <c r="E3" s="141" t="str">
        <f t="shared" si="1"/>
        <v>Nhà tiểu học 3 phòng</v>
      </c>
      <c r="F3" s="141" t="str">
        <f t="shared" si="2"/>
        <v>Điểm TĐC Pom Chốn</v>
      </c>
      <c r="G3" s="141" t="str">
        <f t="shared" si="3"/>
        <v>5/XAYTH3PC</v>
      </c>
      <c r="H3" s="141" t="str">
        <f t="shared" si="4"/>
        <v>5/XAYTH3PC</v>
      </c>
      <c r="I3" s="141" t="str">
        <f t="shared" si="5"/>
        <v>…..</v>
      </c>
      <c r="J3" s="141" t="str">
        <f t="shared" si="6"/>
        <v>…..</v>
      </c>
      <c r="K3" s="142">
        <f t="shared" si="7"/>
        <v>-1</v>
      </c>
      <c r="L3" s="141" t="str">
        <f t="shared" si="8"/>
        <v>…..giờ…..</v>
      </c>
      <c r="M3" s="141" t="str">
        <f t="shared" si="9"/>
        <v>…..giờ…..</v>
      </c>
      <c r="N3" s="141" t="str">
        <f t="shared" si="10"/>
        <v>…..</v>
      </c>
      <c r="O3" s="141" t="str">
        <f t="shared" si="11"/>
        <v>…..</v>
      </c>
      <c r="P3" s="142">
        <f t="shared" si="12"/>
        <v>0</v>
      </c>
      <c r="Q3" s="141" t="str">
        <f t="shared" si="13"/>
        <v>Nguyễn Xuân Quỳnh</v>
      </c>
      <c r="R3" s="141" t="str">
        <f t="shared" si="14"/>
        <v>Lê Văn Thái</v>
      </c>
    </row>
    <row r="4" spans="1:18" ht="31.5">
      <c r="A4" s="186">
        <v>3</v>
      </c>
      <c r="C4" s="186" t="s">
        <v>1474</v>
      </c>
      <c r="D4" s="140" t="str">
        <f t="shared" si="0"/>
        <v>Nghiệm thu công tác xây tường nhà bằng gạch chỉ đặc, vữa xi măng mác 50# (từ cốt lanh tô đến cốt +3.60)</v>
      </c>
      <c r="E4" s="141" t="str">
        <f t="shared" si="1"/>
        <v>Nhà tiểu học 3 phòng</v>
      </c>
      <c r="F4" s="141" t="str">
        <f t="shared" si="2"/>
        <v>Điểm TĐC Pom Chốn</v>
      </c>
      <c r="G4" s="141" t="str">
        <f t="shared" si="3"/>
        <v>7/XAYTH3PC</v>
      </c>
      <c r="H4" s="141" t="str">
        <f t="shared" si="4"/>
        <v>7/XAYTH3PC</v>
      </c>
      <c r="I4" s="141" t="str">
        <f t="shared" si="5"/>
        <v>…..</v>
      </c>
      <c r="J4" s="141" t="str">
        <f t="shared" si="6"/>
        <v>…..</v>
      </c>
      <c r="K4" s="142">
        <f t="shared" si="7"/>
        <v>-1</v>
      </c>
      <c r="L4" s="141" t="str">
        <f t="shared" si="8"/>
        <v>…..giờ…..</v>
      </c>
      <c r="M4" s="141" t="str">
        <f t="shared" si="9"/>
        <v>…..giờ…..</v>
      </c>
      <c r="N4" s="141" t="str">
        <f t="shared" si="10"/>
        <v>…..</v>
      </c>
      <c r="O4" s="141" t="str">
        <f t="shared" si="11"/>
        <v>…..</v>
      </c>
      <c r="P4" s="142">
        <f t="shared" si="12"/>
        <v>0</v>
      </c>
      <c r="Q4" s="141" t="str">
        <f t="shared" si="13"/>
        <v>Nguyễn Xuân Quỳnh</v>
      </c>
      <c r="R4" s="141" t="str">
        <f t="shared" si="14"/>
        <v>Lê Văn Thái</v>
      </c>
    </row>
    <row r="5" spans="1:18" ht="31.5">
      <c r="A5" s="186">
        <v>4</v>
      </c>
      <c r="C5" s="186" t="s">
        <v>1477</v>
      </c>
      <c r="D5" s="140" t="str">
        <f t="shared" si="0"/>
        <v>Nghiệm thu công tác xây tường thu hồi, tường chắn mái</v>
      </c>
      <c r="E5" s="141" t="str">
        <f t="shared" si="1"/>
        <v>Nhà tiểu học 3 phòng</v>
      </c>
      <c r="F5" s="141" t="str">
        <f t="shared" si="2"/>
        <v>Điểm TĐC Pom Chốn</v>
      </c>
      <c r="G5" s="141" t="str">
        <f t="shared" si="3"/>
        <v>9/XAYTH3PC</v>
      </c>
      <c r="H5" s="141" t="str">
        <f t="shared" si="4"/>
        <v>9/XAYTH3PC</v>
      </c>
      <c r="I5" s="141" t="str">
        <f t="shared" si="5"/>
        <v>…..</v>
      </c>
      <c r="J5" s="141" t="str">
        <f t="shared" si="6"/>
        <v>…..</v>
      </c>
      <c r="K5" s="142">
        <f t="shared" si="7"/>
        <v>-1</v>
      </c>
      <c r="L5" s="141" t="str">
        <f t="shared" si="8"/>
        <v>…..giờ…..</v>
      </c>
      <c r="M5" s="141" t="str">
        <f t="shared" si="9"/>
        <v>…..giờ…..</v>
      </c>
      <c r="N5" s="141" t="str">
        <f t="shared" si="10"/>
        <v>…..</v>
      </c>
      <c r="O5" s="141" t="str">
        <f t="shared" si="11"/>
        <v>…..</v>
      </c>
      <c r="P5" s="142">
        <f t="shared" si="12"/>
        <v>0</v>
      </c>
      <c r="Q5" s="141" t="str">
        <f t="shared" si="13"/>
        <v>..........................................</v>
      </c>
      <c r="R5" s="141" t="str">
        <f t="shared" si="14"/>
        <v>Lê Văn Thái</v>
      </c>
    </row>
    <row r="6" spans="1:18">
      <c r="A6" s="186">
        <v>5</v>
      </c>
      <c r="C6" s="186" t="s">
        <v>1487</v>
      </c>
      <c r="D6" s="140" t="e">
        <f t="shared" si="0"/>
        <v>#N/A</v>
      </c>
      <c r="E6" s="141" t="e">
        <f t="shared" si="1"/>
        <v>#N/A</v>
      </c>
      <c r="F6" s="141" t="e">
        <f t="shared" si="2"/>
        <v>#N/A</v>
      </c>
      <c r="G6" s="141" t="e">
        <f t="shared" si="3"/>
        <v>#N/A</v>
      </c>
      <c r="H6" s="141" t="e">
        <f t="shared" si="4"/>
        <v>#N/A</v>
      </c>
      <c r="I6" s="141" t="e">
        <f t="shared" si="5"/>
        <v>#N/A</v>
      </c>
      <c r="J6" s="141" t="e">
        <f t="shared" si="6"/>
        <v>#N/A</v>
      </c>
      <c r="K6" s="142" t="e">
        <f t="shared" si="7"/>
        <v>#N/A</v>
      </c>
      <c r="L6" s="141" t="e">
        <f t="shared" si="8"/>
        <v>#N/A</v>
      </c>
      <c r="M6" s="141" t="e">
        <f t="shared" si="9"/>
        <v>#N/A</v>
      </c>
      <c r="N6" s="141" t="e">
        <f t="shared" si="10"/>
        <v>#N/A</v>
      </c>
      <c r="O6" s="141" t="e">
        <f t="shared" si="11"/>
        <v>#N/A</v>
      </c>
      <c r="P6" s="142" t="e">
        <f t="shared" si="12"/>
        <v>#N/A</v>
      </c>
      <c r="Q6" s="141" t="e">
        <f t="shared" si="13"/>
        <v>#N/A</v>
      </c>
      <c r="R6" s="141" t="e">
        <f t="shared" si="14"/>
        <v>#N/A</v>
      </c>
    </row>
    <row r="7" spans="1:18">
      <c r="A7" s="186">
        <v>6</v>
      </c>
      <c r="C7" s="186" t="s">
        <v>1490</v>
      </c>
      <c r="D7" s="140" t="e">
        <f t="shared" si="0"/>
        <v>#N/A</v>
      </c>
      <c r="E7" s="141" t="e">
        <f t="shared" si="1"/>
        <v>#N/A</v>
      </c>
      <c r="F7" s="141" t="e">
        <f t="shared" si="2"/>
        <v>#N/A</v>
      </c>
      <c r="G7" s="141" t="e">
        <f t="shared" si="3"/>
        <v>#N/A</v>
      </c>
      <c r="H7" s="141" t="e">
        <f t="shared" si="4"/>
        <v>#N/A</v>
      </c>
      <c r="I7" s="141" t="e">
        <f t="shared" si="5"/>
        <v>#N/A</v>
      </c>
      <c r="J7" s="141" t="e">
        <f t="shared" si="6"/>
        <v>#N/A</v>
      </c>
      <c r="K7" s="142" t="e">
        <f t="shared" si="7"/>
        <v>#N/A</v>
      </c>
      <c r="L7" s="141" t="e">
        <f t="shared" si="8"/>
        <v>#N/A</v>
      </c>
      <c r="M7" s="141" t="e">
        <f t="shared" si="9"/>
        <v>#N/A</v>
      </c>
      <c r="N7" s="141" t="e">
        <f t="shared" si="10"/>
        <v>#N/A</v>
      </c>
      <c r="O7" s="141" t="e">
        <f t="shared" si="11"/>
        <v>#N/A</v>
      </c>
      <c r="P7" s="142" t="e">
        <f t="shared" si="12"/>
        <v>#N/A</v>
      </c>
      <c r="Q7" s="141" t="e">
        <f t="shared" si="13"/>
        <v>#N/A</v>
      </c>
      <c r="R7" s="141" t="e">
        <f t="shared" si="14"/>
        <v>#N/A</v>
      </c>
    </row>
    <row r="8" spans="1:18">
      <c r="A8" s="186">
        <v>7</v>
      </c>
      <c r="B8" s="186"/>
      <c r="C8" s="186" t="s">
        <v>1846</v>
      </c>
      <c r="D8" s="140" t="e">
        <f t="shared" si="0"/>
        <v>#N/A</v>
      </c>
      <c r="E8" s="141" t="e">
        <f t="shared" si="1"/>
        <v>#N/A</v>
      </c>
      <c r="F8" s="141" t="e">
        <f t="shared" si="2"/>
        <v>#N/A</v>
      </c>
      <c r="G8" s="141" t="e">
        <f t="shared" si="3"/>
        <v>#N/A</v>
      </c>
      <c r="H8" s="141" t="e">
        <f t="shared" si="4"/>
        <v>#N/A</v>
      </c>
      <c r="I8" s="141" t="e">
        <f t="shared" si="5"/>
        <v>#N/A</v>
      </c>
      <c r="J8" s="141" t="e">
        <f t="shared" si="6"/>
        <v>#N/A</v>
      </c>
      <c r="K8" s="142" t="e">
        <f t="shared" si="7"/>
        <v>#N/A</v>
      </c>
      <c r="L8" s="141" t="e">
        <f t="shared" si="8"/>
        <v>#N/A</v>
      </c>
      <c r="M8" s="141" t="e">
        <f t="shared" si="9"/>
        <v>#N/A</v>
      </c>
      <c r="N8" s="141" t="e">
        <f t="shared" si="10"/>
        <v>#N/A</v>
      </c>
      <c r="O8" s="141" t="e">
        <f t="shared" si="11"/>
        <v>#N/A</v>
      </c>
      <c r="P8" s="142" t="e">
        <f t="shared" si="12"/>
        <v>#N/A</v>
      </c>
      <c r="Q8" s="141" t="e">
        <f t="shared" si="13"/>
        <v>#N/A</v>
      </c>
      <c r="R8" s="141" t="e">
        <f t="shared" si="14"/>
        <v>#N/A</v>
      </c>
    </row>
    <row r="9" spans="1:18">
      <c r="A9" s="186">
        <v>8</v>
      </c>
      <c r="B9" s="186"/>
      <c r="C9" s="186" t="s">
        <v>1847</v>
      </c>
      <c r="D9" s="140" t="e">
        <f t="shared" si="0"/>
        <v>#N/A</v>
      </c>
      <c r="E9" s="141" t="e">
        <f t="shared" si="1"/>
        <v>#N/A</v>
      </c>
      <c r="F9" s="141" t="e">
        <f t="shared" si="2"/>
        <v>#N/A</v>
      </c>
      <c r="G9" s="141" t="e">
        <f t="shared" si="3"/>
        <v>#N/A</v>
      </c>
      <c r="H9" s="141" t="e">
        <f t="shared" si="4"/>
        <v>#N/A</v>
      </c>
      <c r="I9" s="141" t="e">
        <f t="shared" si="5"/>
        <v>#N/A</v>
      </c>
      <c r="J9" s="141" t="e">
        <f t="shared" si="6"/>
        <v>#N/A</v>
      </c>
      <c r="K9" s="142" t="e">
        <f t="shared" si="7"/>
        <v>#N/A</v>
      </c>
      <c r="L9" s="141" t="e">
        <f t="shared" si="8"/>
        <v>#N/A</v>
      </c>
      <c r="M9" s="141" t="e">
        <f t="shared" si="9"/>
        <v>#N/A</v>
      </c>
      <c r="N9" s="141" t="e">
        <f t="shared" si="10"/>
        <v>#N/A</v>
      </c>
      <c r="O9" s="141" t="e">
        <f t="shared" si="11"/>
        <v>#N/A</v>
      </c>
      <c r="P9" s="142" t="e">
        <f t="shared" si="12"/>
        <v>#N/A</v>
      </c>
      <c r="Q9" s="141" t="e">
        <f t="shared" si="13"/>
        <v>#N/A</v>
      </c>
      <c r="R9" s="141" t="e">
        <f t="shared" si="14"/>
        <v>#N/A</v>
      </c>
    </row>
    <row r="10" spans="1:18">
      <c r="A10" s="186">
        <v>9</v>
      </c>
      <c r="B10" s="186"/>
      <c r="C10" s="186" t="s">
        <v>1848</v>
      </c>
      <c r="D10" s="140" t="e">
        <f t="shared" si="0"/>
        <v>#N/A</v>
      </c>
      <c r="E10" s="141" t="e">
        <f t="shared" si="1"/>
        <v>#N/A</v>
      </c>
      <c r="F10" s="141" t="e">
        <f t="shared" si="2"/>
        <v>#N/A</v>
      </c>
      <c r="G10" s="141" t="e">
        <f t="shared" si="3"/>
        <v>#N/A</v>
      </c>
      <c r="H10" s="141" t="e">
        <f t="shared" si="4"/>
        <v>#N/A</v>
      </c>
      <c r="I10" s="141" t="e">
        <f t="shared" si="5"/>
        <v>#N/A</v>
      </c>
      <c r="J10" s="141" t="e">
        <f t="shared" si="6"/>
        <v>#N/A</v>
      </c>
      <c r="K10" s="142" t="e">
        <f t="shared" si="7"/>
        <v>#N/A</v>
      </c>
      <c r="L10" s="141" t="e">
        <f t="shared" si="8"/>
        <v>#N/A</v>
      </c>
      <c r="M10" s="141" t="e">
        <f t="shared" si="9"/>
        <v>#N/A</v>
      </c>
      <c r="N10" s="141" t="e">
        <f t="shared" si="10"/>
        <v>#N/A</v>
      </c>
      <c r="O10" s="141" t="e">
        <f t="shared" si="11"/>
        <v>#N/A</v>
      </c>
      <c r="P10" s="142" t="e">
        <f t="shared" si="12"/>
        <v>#N/A</v>
      </c>
      <c r="Q10" s="141" t="e">
        <f t="shared" si="13"/>
        <v>#N/A</v>
      </c>
      <c r="R10" s="141" t="e">
        <f t="shared" si="14"/>
        <v>#N/A</v>
      </c>
    </row>
    <row r="11" spans="1:18" s="141" customFormat="1">
      <c r="A11" s="186">
        <v>10</v>
      </c>
      <c r="B11" s="186"/>
      <c r="C11" s="186" t="s">
        <v>1849</v>
      </c>
      <c r="D11" s="140" t="e">
        <f t="shared" si="0"/>
        <v>#N/A</v>
      </c>
      <c r="E11" s="141" t="e">
        <f t="shared" si="1"/>
        <v>#N/A</v>
      </c>
      <c r="F11" s="141" t="e">
        <f t="shared" si="2"/>
        <v>#N/A</v>
      </c>
      <c r="G11" s="141" t="e">
        <f t="shared" si="3"/>
        <v>#N/A</v>
      </c>
      <c r="H11" s="141" t="e">
        <f t="shared" si="4"/>
        <v>#N/A</v>
      </c>
      <c r="I11" s="141" t="e">
        <f t="shared" si="5"/>
        <v>#N/A</v>
      </c>
      <c r="J11" s="141" t="e">
        <f t="shared" si="6"/>
        <v>#N/A</v>
      </c>
      <c r="K11" s="142" t="e">
        <f t="shared" si="7"/>
        <v>#N/A</v>
      </c>
      <c r="L11" s="141" t="e">
        <f t="shared" si="8"/>
        <v>#N/A</v>
      </c>
      <c r="M11" s="141" t="e">
        <f t="shared" si="9"/>
        <v>#N/A</v>
      </c>
      <c r="N11" s="141" t="e">
        <f t="shared" si="10"/>
        <v>#N/A</v>
      </c>
      <c r="O11" s="141" t="e">
        <f t="shared" si="11"/>
        <v>#N/A</v>
      </c>
      <c r="P11" s="142" t="e">
        <f t="shared" si="12"/>
        <v>#N/A</v>
      </c>
      <c r="Q11" s="141" t="e">
        <f t="shared" si="13"/>
        <v>#N/A</v>
      </c>
      <c r="R11" s="141" t="e">
        <f t="shared" si="14"/>
        <v>#N/A</v>
      </c>
    </row>
    <row r="12" spans="1:18" s="141" customFormat="1">
      <c r="A12" s="186"/>
      <c r="B12" s="186"/>
      <c r="C12" s="186"/>
      <c r="D12" s="140"/>
      <c r="K12" s="142"/>
      <c r="P12" s="142"/>
    </row>
    <row r="13" spans="1:18" s="141" customFormat="1">
      <c r="C13" s="139"/>
      <c r="G13" s="154"/>
      <c r="I13" s="139"/>
      <c r="J13" s="139"/>
      <c r="K13" s="142"/>
      <c r="N13" s="139"/>
      <c r="O13" s="139"/>
      <c r="P13" s="142"/>
    </row>
    <row r="14" spans="1:18" s="141" customFormat="1">
      <c r="C14" s="139"/>
      <c r="G14" s="154"/>
      <c r="I14" s="139"/>
      <c r="J14" s="139"/>
      <c r="K14" s="142"/>
      <c r="N14" s="139"/>
      <c r="O14" s="139"/>
      <c r="P14" s="142"/>
    </row>
    <row r="15" spans="1:18" s="141" customFormat="1">
      <c r="C15" s="139"/>
      <c r="G15" s="154"/>
      <c r="I15" s="139"/>
      <c r="J15" s="139"/>
      <c r="K15" s="142"/>
      <c r="N15" s="139"/>
      <c r="O15" s="139"/>
      <c r="P15" s="142"/>
    </row>
    <row r="16" spans="1:18" s="141" customFormat="1">
      <c r="C16" s="139"/>
      <c r="G16" s="154"/>
      <c r="I16" s="139"/>
      <c r="J16" s="139"/>
      <c r="K16" s="142"/>
      <c r="N16" s="139"/>
      <c r="O16" s="139"/>
      <c r="P16" s="142"/>
    </row>
    <row r="17" spans="3:16" s="141" customFormat="1">
      <c r="C17" s="139"/>
      <c r="G17" s="154"/>
      <c r="I17" s="139"/>
      <c r="J17" s="139"/>
      <c r="K17" s="142"/>
      <c r="N17" s="139"/>
      <c r="O17" s="139"/>
      <c r="P17" s="142"/>
    </row>
    <row r="18" spans="3:16">
      <c r="G18" s="154"/>
      <c r="K18" s="142"/>
      <c r="P18" s="142"/>
    </row>
    <row r="19" spans="3:16">
      <c r="G19" s="154"/>
      <c r="K19" s="142"/>
      <c r="P19" s="142"/>
    </row>
    <row r="20" spans="3:16">
      <c r="G20" s="154"/>
      <c r="K20" s="142"/>
      <c r="P20" s="142"/>
    </row>
    <row r="21" spans="3:16">
      <c r="G21" s="154"/>
      <c r="K21" s="142"/>
      <c r="P21" s="142"/>
    </row>
    <row r="22" spans="3:16">
      <c r="G22" s="154"/>
      <c r="K22" s="142"/>
      <c r="P22" s="142"/>
    </row>
    <row r="23" spans="3:16">
      <c r="G23" s="154"/>
      <c r="K23" s="142"/>
      <c r="P23" s="142"/>
    </row>
    <row r="24" spans="3:16">
      <c r="G24" s="154"/>
      <c r="K24" s="142"/>
      <c r="P24" s="142"/>
    </row>
    <row r="25" spans="3:16">
      <c r="K25" s="142"/>
      <c r="P25" s="142"/>
    </row>
    <row r="26" spans="3:16">
      <c r="K26" s="142"/>
      <c r="P26" s="142"/>
    </row>
    <row r="27" spans="3:16">
      <c r="K27" s="142"/>
      <c r="P27" s="142"/>
    </row>
    <row r="28" spans="3:16">
      <c r="E28" s="139"/>
      <c r="G28" s="139"/>
      <c r="H28" s="139"/>
      <c r="J28" s="141"/>
      <c r="K28" s="142"/>
      <c r="M28" s="141"/>
      <c r="O28" s="141"/>
      <c r="P28" s="142"/>
    </row>
    <row r="29" spans="3:16">
      <c r="K29" s="142"/>
      <c r="P29" s="142"/>
    </row>
    <row r="30" spans="3:16">
      <c r="K30" s="142"/>
      <c r="P30" s="142"/>
    </row>
    <row r="31" spans="3:16">
      <c r="K31" s="142"/>
      <c r="P31" s="142"/>
    </row>
    <row r="32" spans="3:16">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R1551"/>
  <sheetViews>
    <sheetView zoomScale="85" zoomScaleNormal="85" workbookViewId="0">
      <pane xSplit="4" ySplit="1" topLeftCell="E2" activePane="bottomRight" state="frozen"/>
      <selection activeCell="AN16" sqref="AN16"/>
      <selection pane="topRight" activeCell="AN16" sqref="AN16"/>
      <selection pane="bottomLeft" activeCell="AN16" sqref="AN16"/>
      <selection pane="bottomRight" activeCell="AN16" sqref="AN16"/>
    </sheetView>
  </sheetViews>
  <sheetFormatPr defaultRowHeight="15.75"/>
  <cols>
    <col min="1" max="1" width="5.5" style="139" customWidth="1"/>
    <col min="2" max="2" width="11" style="139" hidden="1" customWidth="1"/>
    <col min="3" max="3" width="10.125" style="139" bestFit="1" customWidth="1"/>
    <col min="4" max="4" width="61.25" style="141" customWidth="1"/>
    <col min="5" max="5" width="27.125" style="141" bestFit="1" customWidth="1"/>
    <col min="6" max="6" width="22.5" style="141" customWidth="1"/>
    <col min="7" max="8" width="21.75" style="141" customWidth="1"/>
    <col min="9" max="9" width="10.375" style="139" customWidth="1"/>
    <col min="10" max="10" width="11.875" style="139" bestFit="1" customWidth="1"/>
    <col min="11" max="11" width="10.375" style="139" bestFit="1" customWidth="1"/>
    <col min="12" max="12" width="9.25" style="139" bestFit="1" customWidth="1"/>
    <col min="13" max="13" width="8.75" style="139" bestFit="1" customWidth="1"/>
    <col min="14" max="14" width="11.125" style="139" bestFit="1" customWidth="1"/>
    <col min="15" max="15" width="13.5" style="139" bestFit="1" customWidth="1"/>
    <col min="16" max="16" width="10.75" style="139" bestFit="1" customWidth="1"/>
    <col min="17" max="17" width="19" style="139" bestFit="1" customWidth="1"/>
    <col min="18" max="18" width="11.125" style="139" bestFit="1" customWidth="1"/>
    <col min="19" max="16384" width="9" style="139"/>
  </cols>
  <sheetData>
    <row r="1" spans="1:18" ht="29.25" thickBot="1">
      <c r="A1" s="174" t="s">
        <v>1085</v>
      </c>
      <c r="B1" s="158" t="s">
        <v>1063</v>
      </c>
      <c r="C1" s="332" t="s">
        <v>1004</v>
      </c>
      <c r="D1" s="331" t="s">
        <v>932</v>
      </c>
      <c r="E1" s="151" t="s">
        <v>933</v>
      </c>
      <c r="F1" s="151" t="s">
        <v>934</v>
      </c>
      <c r="G1" s="151" t="s">
        <v>1065</v>
      </c>
      <c r="H1" s="151" t="s">
        <v>1064</v>
      </c>
      <c r="I1" s="138" t="s">
        <v>1074</v>
      </c>
      <c r="J1" s="138" t="s">
        <v>1075</v>
      </c>
      <c r="K1" s="138" t="s">
        <v>1073</v>
      </c>
      <c r="L1" s="104" t="s">
        <v>1079</v>
      </c>
      <c r="M1" s="104" t="s">
        <v>1080</v>
      </c>
      <c r="N1" s="152" t="s">
        <v>1076</v>
      </c>
      <c r="O1" s="152" t="s">
        <v>1077</v>
      </c>
      <c r="P1" s="152" t="s">
        <v>1078</v>
      </c>
      <c r="Q1" s="153" t="s">
        <v>1081</v>
      </c>
      <c r="R1" s="153" t="s">
        <v>1082</v>
      </c>
    </row>
    <row r="2" spans="1:18" ht="16.5" thickTop="1">
      <c r="A2" s="139">
        <v>1</v>
      </c>
      <c r="C2" s="139" t="s">
        <v>1600</v>
      </c>
      <c r="D2" s="140" t="str">
        <f>VLOOKUP($C2,TUANBV,2,0)</f>
        <v>Đào hố móng</v>
      </c>
      <c r="E2" s="141" t="str">
        <f>VLOOKUP($C2,TUANBV,3,0)</f>
        <v>Nhà tiểu học 3 phòng</v>
      </c>
      <c r="F2" s="141" t="str">
        <f>VLOOKUP($C2,TUANBV,4,0)</f>
        <v>Điểm TĐC Pom Chốn</v>
      </c>
      <c r="G2" s="141" t="str">
        <f>VLOOKUP($C2,TUANBV,5,0)</f>
        <v>1/DMTH3PC</v>
      </c>
      <c r="H2" s="141" t="str">
        <f>VLOOKUP($C2,TUANBV,6,0)</f>
        <v>1/DMTH3PC</v>
      </c>
      <c r="I2" s="141" t="str">
        <f>VLOOKUP($C2,TUANBV,7,0)</f>
        <v>18</v>
      </c>
      <c r="J2" s="141" t="str">
        <f>VLOOKUP($C2,TUANBV,8,0)</f>
        <v>08</v>
      </c>
      <c r="K2" s="142">
        <f>VLOOKUP($C2,TUANBV,9,0)</f>
        <v>41869</v>
      </c>
      <c r="L2" s="141" t="str">
        <f>VLOOKUP($C2,TUANBV,10,0)</f>
        <v>08 giờ 00</v>
      </c>
      <c r="M2" s="141" t="str">
        <f>VLOOKUP($C2,TUANBV,11,0)</f>
        <v>09 giờ 00</v>
      </c>
      <c r="N2" s="141" t="str">
        <f>VLOOKUP($C2,TUANBV,12,0)</f>
        <v>19</v>
      </c>
      <c r="O2" s="141" t="str">
        <f>VLOOKUP($C2,TUANBV,13,0)</f>
        <v>08</v>
      </c>
      <c r="P2" s="142">
        <f>VLOOKUP($C2,TUANBV,14,0)</f>
        <v>41870</v>
      </c>
      <c r="Q2" s="141" t="str">
        <f>VLOOKUP($C2,TUANBV,15,0)</f>
        <v>Nguyễn Xuân Quỳnh</v>
      </c>
      <c r="R2" s="141" t="str">
        <f>VLOOKUP($C2,TUANBV,16,0)</f>
        <v>Lê Văn Thái</v>
      </c>
    </row>
    <row r="3" spans="1:18">
      <c r="A3" s="139">
        <v>2</v>
      </c>
      <c r="C3" s="186" t="s">
        <v>1611</v>
      </c>
      <c r="D3" s="140" t="e">
        <f>VLOOKUP($C3,TUANBV,2,0)</f>
        <v>#N/A</v>
      </c>
      <c r="E3" s="141" t="e">
        <f>VLOOKUP($C3,TUANBV,3,0)</f>
        <v>#N/A</v>
      </c>
      <c r="F3" s="141" t="e">
        <f>VLOOKUP($C3,TUANBV,4,0)</f>
        <v>#N/A</v>
      </c>
      <c r="G3" s="141" t="e">
        <f>VLOOKUP($C3,TUANBV,5,0)</f>
        <v>#N/A</v>
      </c>
      <c r="H3" s="141" t="e">
        <f>VLOOKUP($C3,TUANBV,6,0)</f>
        <v>#N/A</v>
      </c>
      <c r="I3" s="141" t="e">
        <f>VLOOKUP($C3,TUANBV,7,0)</f>
        <v>#N/A</v>
      </c>
      <c r="J3" s="141" t="e">
        <f>VLOOKUP($C3,TUANBV,8,0)</f>
        <v>#N/A</v>
      </c>
      <c r="K3" s="142" t="e">
        <f>VLOOKUP($C3,TUANBV,9,0)</f>
        <v>#N/A</v>
      </c>
      <c r="L3" s="141" t="e">
        <f>VLOOKUP($C3,TUANBV,10,0)</f>
        <v>#N/A</v>
      </c>
      <c r="M3" s="141" t="e">
        <f>VLOOKUP($C3,TUANBV,11,0)</f>
        <v>#N/A</v>
      </c>
      <c r="N3" s="141" t="e">
        <f>VLOOKUP($C3,TUANBV,12,0)</f>
        <v>#N/A</v>
      </c>
      <c r="O3" s="141" t="e">
        <f>VLOOKUP($C3,TUANBV,13,0)</f>
        <v>#N/A</v>
      </c>
      <c r="P3" s="142" t="e">
        <f>VLOOKUP($C3,TUANBV,14,0)</f>
        <v>#N/A</v>
      </c>
      <c r="Q3" s="141" t="e">
        <f>VLOOKUP($C3,TUANBV,15,0)</f>
        <v>#N/A</v>
      </c>
      <c r="R3" s="141" t="e">
        <f>VLOOKUP($C3,TUANBV,16,0)</f>
        <v>#N/A</v>
      </c>
    </row>
    <row r="4" spans="1:18">
      <c r="A4" s="186">
        <v>3</v>
      </c>
      <c r="C4" s="186" t="s">
        <v>1612</v>
      </c>
      <c r="D4" s="140" t="e">
        <f>VLOOKUP($C4,TUANBV,2,0)</f>
        <v>#N/A</v>
      </c>
      <c r="E4" s="141" t="e">
        <f>VLOOKUP($C4,TUANBV,3,0)</f>
        <v>#N/A</v>
      </c>
      <c r="F4" s="141" t="e">
        <f>VLOOKUP($C4,TUANBV,4,0)</f>
        <v>#N/A</v>
      </c>
      <c r="G4" s="141" t="e">
        <f>VLOOKUP($C4,TUANBV,5,0)</f>
        <v>#N/A</v>
      </c>
      <c r="H4" s="141" t="e">
        <f>VLOOKUP($C4,TUANBV,6,0)</f>
        <v>#N/A</v>
      </c>
      <c r="I4" s="141" t="e">
        <f>VLOOKUP($C4,TUANBV,7,0)</f>
        <v>#N/A</v>
      </c>
      <c r="J4" s="141" t="e">
        <f>VLOOKUP($C4,TUANBV,8,0)</f>
        <v>#N/A</v>
      </c>
      <c r="K4" s="142" t="e">
        <f>VLOOKUP($C4,TUANBV,9,0)</f>
        <v>#N/A</v>
      </c>
      <c r="L4" s="141" t="e">
        <f>VLOOKUP($C4,TUANBV,10,0)</f>
        <v>#N/A</v>
      </c>
      <c r="M4" s="141" t="e">
        <f>VLOOKUP($C4,TUANBV,11,0)</f>
        <v>#N/A</v>
      </c>
      <c r="N4" s="141" t="e">
        <f>VLOOKUP($C4,TUANBV,12,0)</f>
        <v>#N/A</v>
      </c>
      <c r="O4" s="141" t="e">
        <f>VLOOKUP($C4,TUANBV,13,0)</f>
        <v>#N/A</v>
      </c>
      <c r="P4" s="142" t="e">
        <f>VLOOKUP($C4,TUANBV,14,0)</f>
        <v>#N/A</v>
      </c>
      <c r="Q4" s="141" t="e">
        <f>VLOOKUP($C4,TUANBV,15,0)</f>
        <v>#N/A</v>
      </c>
      <c r="R4" s="141" t="e">
        <f>VLOOKUP($C4,TUANBV,16,0)</f>
        <v>#N/A</v>
      </c>
    </row>
    <row r="5" spans="1:18">
      <c r="A5" s="186">
        <v>4</v>
      </c>
      <c r="C5" s="186" t="s">
        <v>1613</v>
      </c>
      <c r="D5" s="140" t="e">
        <f>VLOOKUP($C5,TUANBV,2,0)</f>
        <v>#N/A</v>
      </c>
      <c r="E5" s="141" t="e">
        <f>VLOOKUP($C5,TUANBV,3,0)</f>
        <v>#N/A</v>
      </c>
      <c r="F5" s="141" t="e">
        <f>VLOOKUP($C5,TUANBV,4,0)</f>
        <v>#N/A</v>
      </c>
      <c r="G5" s="141" t="e">
        <f>VLOOKUP($C5,TUANBV,5,0)</f>
        <v>#N/A</v>
      </c>
      <c r="H5" s="141" t="e">
        <f>VLOOKUP($C5,TUANBV,6,0)</f>
        <v>#N/A</v>
      </c>
      <c r="I5" s="141" t="e">
        <f>VLOOKUP($C5,TUANBV,7,0)</f>
        <v>#N/A</v>
      </c>
      <c r="J5" s="141" t="e">
        <f>VLOOKUP($C5,TUANBV,8,0)</f>
        <v>#N/A</v>
      </c>
      <c r="K5" s="142" t="e">
        <f>VLOOKUP($C5,TUANBV,9,0)</f>
        <v>#N/A</v>
      </c>
      <c r="L5" s="141" t="e">
        <f>VLOOKUP($C5,TUANBV,10,0)</f>
        <v>#N/A</v>
      </c>
      <c r="M5" s="141" t="e">
        <f>VLOOKUP($C5,TUANBV,11,0)</f>
        <v>#N/A</v>
      </c>
      <c r="N5" s="141" t="e">
        <f>VLOOKUP($C5,TUANBV,12,0)</f>
        <v>#N/A</v>
      </c>
      <c r="O5" s="141" t="e">
        <f>VLOOKUP($C5,TUANBV,13,0)</f>
        <v>#N/A</v>
      </c>
      <c r="P5" s="142" t="e">
        <f>VLOOKUP($C5,TUANBV,14,0)</f>
        <v>#N/A</v>
      </c>
      <c r="Q5" s="141" t="e">
        <f>VLOOKUP($C5,TUANBV,15,0)</f>
        <v>#N/A</v>
      </c>
      <c r="R5" s="141" t="e">
        <f>VLOOKUP($C5,TUANBV,16,0)</f>
        <v>#N/A</v>
      </c>
    </row>
    <row r="6" spans="1:18">
      <c r="A6" s="186">
        <v>5</v>
      </c>
      <c r="C6" s="186" t="s">
        <v>1614</v>
      </c>
      <c r="D6" s="140" t="e">
        <f>VLOOKUP($C6,TUANBV,2,0)</f>
        <v>#N/A</v>
      </c>
      <c r="E6" s="141" t="e">
        <f>VLOOKUP($C6,TUANBV,3,0)</f>
        <v>#N/A</v>
      </c>
      <c r="F6" s="141" t="e">
        <f>VLOOKUP($C6,TUANBV,4,0)</f>
        <v>#N/A</v>
      </c>
      <c r="G6" s="141" t="e">
        <f>VLOOKUP($C6,TUANBV,5,0)</f>
        <v>#N/A</v>
      </c>
      <c r="H6" s="141" t="e">
        <f>VLOOKUP($C6,TUANBV,6,0)</f>
        <v>#N/A</v>
      </c>
      <c r="I6" s="141" t="e">
        <f>VLOOKUP($C6,TUANBV,7,0)</f>
        <v>#N/A</v>
      </c>
      <c r="J6" s="141" t="e">
        <f>VLOOKUP($C6,TUANBV,8,0)</f>
        <v>#N/A</v>
      </c>
      <c r="K6" s="142" t="e">
        <f>VLOOKUP($C6,TUANBV,9,0)</f>
        <v>#N/A</v>
      </c>
      <c r="L6" s="141" t="e">
        <f>VLOOKUP($C6,TUANBV,10,0)</f>
        <v>#N/A</v>
      </c>
      <c r="M6" s="141" t="e">
        <f>VLOOKUP($C6,TUANBV,11,0)</f>
        <v>#N/A</v>
      </c>
      <c r="N6" s="141" t="e">
        <f>VLOOKUP($C6,TUANBV,12,0)</f>
        <v>#N/A</v>
      </c>
      <c r="O6" s="141" t="e">
        <f>VLOOKUP($C6,TUANBV,13,0)</f>
        <v>#N/A</v>
      </c>
      <c r="P6" s="142" t="e">
        <f>VLOOKUP($C6,TUANBV,14,0)</f>
        <v>#N/A</v>
      </c>
      <c r="Q6" s="141" t="e">
        <f>VLOOKUP($C6,TUANBV,15,0)</f>
        <v>#N/A</v>
      </c>
      <c r="R6" s="141" t="e">
        <f>VLOOKUP($C6,TUANBV,16,0)</f>
        <v>#N/A</v>
      </c>
    </row>
    <row r="7" spans="1:18">
      <c r="G7" s="154"/>
      <c r="K7" s="142"/>
      <c r="P7" s="142"/>
    </row>
    <row r="8" spans="1:18">
      <c r="G8" s="154"/>
      <c r="K8" s="142"/>
      <c r="P8" s="142"/>
    </row>
    <row r="9" spans="1:18">
      <c r="G9" s="154"/>
      <c r="K9" s="142"/>
      <c r="P9" s="142"/>
    </row>
    <row r="10" spans="1:18">
      <c r="G10" s="154"/>
      <c r="K10" s="142"/>
      <c r="P10" s="142"/>
    </row>
    <row r="11" spans="1:18" s="141" customFormat="1">
      <c r="C11" s="139"/>
      <c r="G11" s="154"/>
      <c r="I11" s="139"/>
      <c r="J11" s="139"/>
      <c r="K11" s="142"/>
      <c r="N11" s="139"/>
      <c r="O11" s="139"/>
      <c r="P11" s="142"/>
    </row>
    <row r="12" spans="1:18" s="141" customFormat="1">
      <c r="C12" s="139"/>
      <c r="G12" s="154"/>
      <c r="I12" s="139"/>
      <c r="J12" s="139"/>
      <c r="K12" s="142"/>
      <c r="N12" s="139"/>
      <c r="O12" s="139"/>
      <c r="P12" s="142"/>
    </row>
    <row r="13" spans="1:18" s="141" customFormat="1">
      <c r="C13" s="139"/>
      <c r="G13" s="154"/>
      <c r="I13" s="139"/>
      <c r="J13" s="139"/>
      <c r="K13" s="142"/>
      <c r="N13" s="139"/>
      <c r="O13" s="139"/>
      <c r="P13" s="142"/>
    </row>
    <row r="14" spans="1:18" s="141" customFormat="1">
      <c r="C14" s="139"/>
      <c r="G14" s="154"/>
      <c r="I14" s="139"/>
      <c r="J14" s="139"/>
      <c r="K14" s="142"/>
      <c r="N14" s="139"/>
      <c r="O14" s="139"/>
      <c r="P14" s="142"/>
    </row>
    <row r="15" spans="1:18" s="141" customFormat="1">
      <c r="C15" s="139"/>
      <c r="G15" s="154"/>
      <c r="I15" s="139"/>
      <c r="J15" s="139"/>
      <c r="K15" s="142"/>
      <c r="N15" s="139"/>
      <c r="O15" s="139"/>
      <c r="P15" s="142"/>
    </row>
    <row r="16" spans="1:18" s="141" customFormat="1">
      <c r="C16" s="139"/>
      <c r="G16" s="154"/>
      <c r="I16" s="139"/>
      <c r="J16" s="139"/>
      <c r="K16" s="142"/>
      <c r="N16" s="139"/>
      <c r="O16" s="139"/>
      <c r="P16" s="142"/>
    </row>
    <row r="17" spans="3:16" s="141" customFormat="1">
      <c r="C17" s="139"/>
      <c r="G17" s="154"/>
      <c r="I17" s="139"/>
      <c r="J17" s="139"/>
      <c r="K17" s="142"/>
      <c r="N17" s="139"/>
      <c r="O17" s="139"/>
      <c r="P17" s="142"/>
    </row>
    <row r="18" spans="3:16">
      <c r="G18" s="154"/>
      <c r="K18" s="142"/>
      <c r="P18" s="142"/>
    </row>
    <row r="19" spans="3:16">
      <c r="G19" s="154"/>
      <c r="K19" s="142"/>
      <c r="P19" s="142"/>
    </row>
    <row r="20" spans="3:16">
      <c r="G20" s="154"/>
      <c r="K20" s="142"/>
      <c r="P20" s="142"/>
    </row>
    <row r="21" spans="3:16">
      <c r="G21" s="154"/>
      <c r="K21" s="142"/>
      <c r="P21" s="142"/>
    </row>
    <row r="22" spans="3:16">
      <c r="G22" s="154"/>
      <c r="K22" s="142"/>
      <c r="P22" s="142"/>
    </row>
    <row r="23" spans="3:16">
      <c r="G23" s="154"/>
      <c r="K23" s="142"/>
      <c r="P23" s="142"/>
    </row>
    <row r="24" spans="3:16">
      <c r="G24" s="154"/>
      <c r="K24" s="142"/>
      <c r="P24" s="142"/>
    </row>
    <row r="25" spans="3:16">
      <c r="K25" s="142"/>
      <c r="P25" s="142"/>
    </row>
    <row r="26" spans="3:16">
      <c r="K26" s="142"/>
      <c r="P26" s="142"/>
    </row>
    <row r="27" spans="3:16">
      <c r="K27" s="142"/>
      <c r="P27" s="142"/>
    </row>
    <row r="28" spans="3:16">
      <c r="E28" s="139"/>
      <c r="G28" s="139"/>
      <c r="H28" s="139"/>
      <c r="J28" s="141"/>
      <c r="K28" s="142"/>
      <c r="M28" s="141"/>
      <c r="O28" s="141"/>
      <c r="P28" s="142"/>
    </row>
    <row r="29" spans="3:16">
      <c r="K29" s="142"/>
      <c r="P29" s="142"/>
    </row>
    <row r="30" spans="3:16">
      <c r="K30" s="142"/>
      <c r="P30" s="142"/>
    </row>
    <row r="31" spans="3:16">
      <c r="K31" s="142"/>
      <c r="P31" s="142"/>
    </row>
    <row r="32" spans="3:16">
      <c r="K32" s="142"/>
      <c r="P32" s="142"/>
    </row>
    <row r="33" spans="11:16">
      <c r="K33" s="142"/>
      <c r="P33" s="142"/>
    </row>
    <row r="34" spans="11:16">
      <c r="K34" s="142"/>
      <c r="P34" s="142"/>
    </row>
    <row r="35" spans="11:16">
      <c r="K35" s="142"/>
      <c r="P35" s="142"/>
    </row>
    <row r="36" spans="11:16">
      <c r="K36" s="142"/>
      <c r="P36" s="142"/>
    </row>
    <row r="37" spans="11:16">
      <c r="K37" s="142"/>
      <c r="P37" s="142"/>
    </row>
    <row r="38" spans="11:16">
      <c r="K38" s="142"/>
      <c r="P38" s="142"/>
    </row>
    <row r="39" spans="11:16">
      <c r="K39" s="142"/>
      <c r="P39" s="142"/>
    </row>
    <row r="40" spans="11:16">
      <c r="K40" s="142"/>
      <c r="P40" s="142"/>
    </row>
    <row r="41" spans="11:16">
      <c r="K41" s="142"/>
      <c r="P41" s="142"/>
    </row>
    <row r="42" spans="11:16">
      <c r="K42" s="142"/>
      <c r="P42" s="142"/>
    </row>
    <row r="43" spans="11:16">
      <c r="K43" s="142"/>
      <c r="P43" s="142"/>
    </row>
    <row r="44" spans="11:16">
      <c r="K44" s="142"/>
      <c r="P44" s="142"/>
    </row>
    <row r="45" spans="11:16">
      <c r="K45" s="142"/>
      <c r="P45" s="142"/>
    </row>
    <row r="46" spans="11:16">
      <c r="K46" s="142"/>
      <c r="P46" s="142"/>
    </row>
    <row r="47" spans="11:16">
      <c r="K47" s="142"/>
      <c r="P47" s="142"/>
    </row>
    <row r="48" spans="11:16">
      <c r="K48" s="142"/>
      <c r="P48" s="142"/>
    </row>
    <row r="49" spans="11:16">
      <c r="K49" s="142"/>
      <c r="P49" s="142"/>
    </row>
    <row r="50" spans="11:16">
      <c r="K50" s="142"/>
      <c r="P50" s="142"/>
    </row>
    <row r="51" spans="11:16">
      <c r="K51" s="142"/>
      <c r="P51" s="142"/>
    </row>
    <row r="52" spans="11:16">
      <c r="K52" s="142"/>
      <c r="P52" s="142"/>
    </row>
    <row r="53" spans="11:16">
      <c r="K53" s="142"/>
      <c r="P53" s="142"/>
    </row>
    <row r="54" spans="11:16">
      <c r="K54" s="142"/>
      <c r="P54" s="142"/>
    </row>
    <row r="55" spans="11:16">
      <c r="K55" s="142"/>
      <c r="P55" s="142"/>
    </row>
    <row r="56" spans="11:16">
      <c r="K56" s="142"/>
      <c r="P56" s="142"/>
    </row>
    <row r="57" spans="11:16">
      <c r="K57" s="142"/>
      <c r="P57" s="142"/>
    </row>
    <row r="58" spans="11:16">
      <c r="K58" s="142"/>
      <c r="P58" s="142"/>
    </row>
    <row r="59" spans="11:16">
      <c r="K59" s="142"/>
      <c r="P59" s="142"/>
    </row>
    <row r="60" spans="11:16">
      <c r="K60" s="142"/>
      <c r="P60" s="142"/>
    </row>
    <row r="61" spans="11:16">
      <c r="K61" s="142"/>
      <c r="P61" s="142"/>
    </row>
    <row r="62" spans="11:16">
      <c r="K62" s="142"/>
      <c r="P62" s="142"/>
    </row>
    <row r="63" spans="11:16">
      <c r="K63" s="142"/>
      <c r="P63" s="142"/>
    </row>
    <row r="64" spans="11:16">
      <c r="K64" s="142"/>
      <c r="P64" s="142"/>
    </row>
    <row r="65" spans="11:16">
      <c r="K65" s="142"/>
      <c r="P65" s="142"/>
    </row>
    <row r="66" spans="11:16">
      <c r="K66" s="142"/>
      <c r="P66" s="142"/>
    </row>
    <row r="67" spans="11:16">
      <c r="K67" s="142"/>
      <c r="P67" s="142"/>
    </row>
    <row r="68" spans="11:16">
      <c r="K68" s="142"/>
      <c r="P68" s="142"/>
    </row>
    <row r="69" spans="11:16">
      <c r="K69" s="142"/>
      <c r="P69" s="142"/>
    </row>
    <row r="70" spans="11:16">
      <c r="K70" s="142"/>
      <c r="P70" s="142"/>
    </row>
    <row r="71" spans="11:16">
      <c r="K71" s="142"/>
      <c r="P71" s="142"/>
    </row>
    <row r="72" spans="11:16">
      <c r="K72" s="142"/>
      <c r="P72" s="142"/>
    </row>
    <row r="73" spans="11:16">
      <c r="K73" s="142"/>
      <c r="P73" s="142"/>
    </row>
    <row r="74" spans="11:16">
      <c r="K74" s="142"/>
      <c r="P74" s="142"/>
    </row>
    <row r="75" spans="11:16">
      <c r="K75" s="142"/>
      <c r="P75" s="142"/>
    </row>
    <row r="76" spans="11:16">
      <c r="K76" s="142"/>
      <c r="P76" s="142"/>
    </row>
    <row r="77" spans="11:16">
      <c r="K77" s="142"/>
      <c r="P77" s="142"/>
    </row>
    <row r="78" spans="11:16">
      <c r="K78" s="142"/>
      <c r="P78" s="142"/>
    </row>
    <row r="79" spans="11:16">
      <c r="K79" s="142"/>
      <c r="P79" s="142"/>
    </row>
    <row r="80" spans="11:16">
      <c r="K80" s="142"/>
      <c r="P80" s="142"/>
    </row>
    <row r="81" spans="11:16">
      <c r="K81" s="142"/>
      <c r="P81" s="142"/>
    </row>
    <row r="82" spans="11:16">
      <c r="K82" s="142"/>
      <c r="P82" s="142"/>
    </row>
    <row r="83" spans="11:16">
      <c r="K83" s="142"/>
      <c r="P83" s="142"/>
    </row>
    <row r="84" spans="11:16">
      <c r="K84" s="142"/>
      <c r="P84" s="142"/>
    </row>
    <row r="85" spans="11:16">
      <c r="K85" s="142"/>
      <c r="P85" s="142"/>
    </row>
    <row r="86" spans="11:16">
      <c r="K86" s="142"/>
      <c r="P86" s="142"/>
    </row>
    <row r="87" spans="11:16">
      <c r="K87" s="142"/>
      <c r="P87" s="142"/>
    </row>
    <row r="88" spans="11:16">
      <c r="K88" s="142"/>
      <c r="P88" s="142"/>
    </row>
    <row r="89" spans="11:16">
      <c r="K89" s="142"/>
      <c r="P89" s="142"/>
    </row>
    <row r="90" spans="11:16">
      <c r="K90" s="142"/>
      <c r="P90" s="142"/>
    </row>
    <row r="91" spans="11:16">
      <c r="K91" s="142"/>
      <c r="P91" s="142"/>
    </row>
    <row r="92" spans="11:16">
      <c r="K92" s="142"/>
      <c r="P92" s="142"/>
    </row>
    <row r="93" spans="11:16">
      <c r="K93" s="142"/>
      <c r="P93" s="142"/>
    </row>
    <row r="94" spans="11:16">
      <c r="K94" s="142"/>
      <c r="P94" s="142"/>
    </row>
    <row r="95" spans="11:16">
      <c r="K95" s="142"/>
      <c r="P95" s="142"/>
    </row>
    <row r="96" spans="11:16">
      <c r="K96" s="142"/>
      <c r="P96" s="142"/>
    </row>
    <row r="97" spans="11:16">
      <c r="K97" s="142"/>
      <c r="P97" s="142"/>
    </row>
    <row r="98" spans="11:16">
      <c r="K98" s="142"/>
      <c r="P98" s="142"/>
    </row>
    <row r="99" spans="11:16">
      <c r="K99" s="142"/>
      <c r="P99" s="142"/>
    </row>
    <row r="100" spans="11:16">
      <c r="K100" s="142"/>
      <c r="P100" s="142"/>
    </row>
    <row r="101" spans="11:16">
      <c r="K101" s="142"/>
      <c r="P101" s="142"/>
    </row>
    <row r="102" spans="11:16">
      <c r="K102" s="142"/>
      <c r="P102" s="142"/>
    </row>
    <row r="103" spans="11:16">
      <c r="K103" s="142"/>
      <c r="P103" s="142"/>
    </row>
    <row r="104" spans="11:16">
      <c r="K104" s="142"/>
      <c r="P104" s="142"/>
    </row>
    <row r="105" spans="11:16">
      <c r="K105" s="142"/>
      <c r="P105" s="142"/>
    </row>
    <row r="106" spans="11:16">
      <c r="K106" s="142"/>
      <c r="P106" s="142"/>
    </row>
    <row r="107" spans="11:16">
      <c r="K107" s="142"/>
      <c r="P107" s="142"/>
    </row>
    <row r="108" spans="11:16">
      <c r="K108" s="142"/>
      <c r="P108" s="142"/>
    </row>
    <row r="109" spans="11:16">
      <c r="K109" s="142"/>
      <c r="P109" s="142"/>
    </row>
    <row r="110" spans="11:16">
      <c r="K110" s="142"/>
      <c r="P110" s="142"/>
    </row>
    <row r="111" spans="11:16">
      <c r="K111" s="142"/>
      <c r="P111" s="142"/>
    </row>
    <row r="112" spans="11:16">
      <c r="K112" s="142"/>
      <c r="P112" s="142"/>
    </row>
    <row r="113" spans="11:16">
      <c r="K113" s="142"/>
      <c r="P113" s="142"/>
    </row>
    <row r="114" spans="11:16">
      <c r="K114" s="142"/>
      <c r="P114" s="142"/>
    </row>
    <row r="115" spans="11:16">
      <c r="K115" s="142"/>
      <c r="P115" s="142"/>
    </row>
    <row r="116" spans="11:16">
      <c r="K116" s="142"/>
      <c r="P116" s="142"/>
    </row>
    <row r="117" spans="11:16">
      <c r="K117" s="142"/>
      <c r="P117" s="142"/>
    </row>
    <row r="118" spans="11:16">
      <c r="K118" s="142"/>
      <c r="P118" s="142"/>
    </row>
    <row r="119" spans="11:16">
      <c r="K119" s="142"/>
      <c r="P119" s="142"/>
    </row>
    <row r="120" spans="11:16">
      <c r="K120" s="142"/>
      <c r="P120" s="142"/>
    </row>
    <row r="121" spans="11:16">
      <c r="K121" s="142"/>
      <c r="P121" s="142"/>
    </row>
    <row r="122" spans="11:16">
      <c r="K122" s="142"/>
      <c r="P122" s="142"/>
    </row>
    <row r="123" spans="11:16">
      <c r="K123" s="142"/>
      <c r="P123" s="142"/>
    </row>
    <row r="124" spans="11:16">
      <c r="K124" s="142"/>
      <c r="P124" s="142"/>
    </row>
    <row r="125" spans="11:16">
      <c r="K125" s="142"/>
      <c r="P125" s="142"/>
    </row>
    <row r="126" spans="11:16">
      <c r="K126" s="142"/>
      <c r="P126" s="142"/>
    </row>
    <row r="127" spans="11:16">
      <c r="K127" s="142"/>
      <c r="P127" s="142"/>
    </row>
    <row r="128" spans="11:16">
      <c r="K128" s="142"/>
      <c r="P128" s="142"/>
    </row>
    <row r="129" spans="11:16">
      <c r="K129" s="142"/>
      <c r="P129" s="142"/>
    </row>
    <row r="130" spans="11:16">
      <c r="K130" s="142"/>
      <c r="P130" s="142"/>
    </row>
    <row r="131" spans="11:16">
      <c r="K131" s="142"/>
      <c r="P131" s="142"/>
    </row>
    <row r="132" spans="11:16">
      <c r="K132" s="142"/>
      <c r="P132" s="142"/>
    </row>
    <row r="133" spans="11:16">
      <c r="K133" s="142"/>
      <c r="P133" s="142"/>
    </row>
    <row r="134" spans="11:16">
      <c r="K134" s="142"/>
      <c r="P134" s="142"/>
    </row>
    <row r="135" spans="11:16">
      <c r="K135" s="142"/>
      <c r="P135" s="142"/>
    </row>
    <row r="136" spans="11:16">
      <c r="K136" s="142"/>
      <c r="P136" s="142"/>
    </row>
    <row r="137" spans="11:16">
      <c r="K137" s="142"/>
      <c r="P137" s="142"/>
    </row>
    <row r="138" spans="11:16">
      <c r="K138" s="142"/>
      <c r="P138" s="142"/>
    </row>
    <row r="139" spans="11:16">
      <c r="K139" s="142"/>
      <c r="P139" s="142"/>
    </row>
    <row r="140" spans="11:16">
      <c r="K140" s="142"/>
      <c r="P140" s="142"/>
    </row>
    <row r="141" spans="11:16">
      <c r="K141" s="142"/>
      <c r="P141" s="142"/>
    </row>
    <row r="142" spans="11:16">
      <c r="K142" s="142"/>
      <c r="P142" s="142"/>
    </row>
    <row r="143" spans="11:16">
      <c r="K143" s="142"/>
      <c r="P143" s="142"/>
    </row>
    <row r="144" spans="11:16">
      <c r="K144" s="142"/>
      <c r="P144" s="142"/>
    </row>
    <row r="145" spans="11:16">
      <c r="K145" s="142"/>
      <c r="P145" s="142"/>
    </row>
    <row r="146" spans="11:16">
      <c r="K146" s="142"/>
      <c r="P146" s="142"/>
    </row>
    <row r="147" spans="11:16">
      <c r="K147" s="142"/>
      <c r="P147" s="142"/>
    </row>
    <row r="148" spans="11:16">
      <c r="K148" s="142"/>
      <c r="P148" s="142"/>
    </row>
    <row r="149" spans="11:16">
      <c r="K149" s="142"/>
      <c r="P149" s="142"/>
    </row>
    <row r="150" spans="11:16">
      <c r="K150" s="142"/>
      <c r="P150" s="142"/>
    </row>
    <row r="151" spans="11:16">
      <c r="K151" s="142"/>
      <c r="P151" s="142"/>
    </row>
    <row r="152" spans="11:16">
      <c r="K152" s="142"/>
      <c r="P152" s="142"/>
    </row>
    <row r="153" spans="11:16">
      <c r="K153" s="142"/>
      <c r="P153" s="142"/>
    </row>
    <row r="154" spans="11:16">
      <c r="K154" s="142"/>
      <c r="P154" s="142"/>
    </row>
    <row r="155" spans="11:16">
      <c r="K155" s="142"/>
      <c r="P155" s="142"/>
    </row>
    <row r="156" spans="11:16">
      <c r="K156" s="142"/>
      <c r="P156" s="142"/>
    </row>
    <row r="157" spans="11:16">
      <c r="K157" s="142"/>
      <c r="P157" s="142"/>
    </row>
    <row r="158" spans="11:16">
      <c r="K158" s="142"/>
      <c r="P158" s="142"/>
    </row>
    <row r="159" spans="11:16">
      <c r="K159" s="142"/>
      <c r="P159" s="142"/>
    </row>
    <row r="160" spans="11:16">
      <c r="K160" s="142"/>
      <c r="P160" s="142"/>
    </row>
    <row r="161" spans="11:16">
      <c r="K161" s="142"/>
      <c r="P161" s="142"/>
    </row>
    <row r="162" spans="11:16">
      <c r="K162" s="142"/>
      <c r="P162" s="142"/>
    </row>
    <row r="163" spans="11:16">
      <c r="K163" s="142"/>
      <c r="P163" s="142"/>
    </row>
    <row r="164" spans="11:16">
      <c r="K164" s="142"/>
      <c r="P164" s="142"/>
    </row>
    <row r="165" spans="11:16">
      <c r="K165" s="142"/>
      <c r="P165" s="142"/>
    </row>
    <row r="166" spans="11:16">
      <c r="K166" s="142"/>
      <c r="P166" s="142"/>
    </row>
    <row r="167" spans="11:16">
      <c r="K167" s="142"/>
      <c r="P167" s="142"/>
    </row>
    <row r="168" spans="11:16">
      <c r="K168" s="142"/>
      <c r="P168" s="142"/>
    </row>
    <row r="169" spans="11:16">
      <c r="K169" s="142"/>
      <c r="P169" s="142"/>
    </row>
    <row r="170" spans="11:16">
      <c r="K170" s="142"/>
      <c r="P170" s="142"/>
    </row>
    <row r="171" spans="11:16">
      <c r="K171" s="142"/>
      <c r="P171" s="142"/>
    </row>
    <row r="172" spans="11:16">
      <c r="K172" s="142"/>
      <c r="P172" s="142"/>
    </row>
    <row r="173" spans="11:16">
      <c r="K173" s="142"/>
      <c r="P173" s="142"/>
    </row>
    <row r="174" spans="11:16">
      <c r="K174" s="142"/>
      <c r="P174" s="142"/>
    </row>
    <row r="175" spans="11:16">
      <c r="K175" s="142"/>
      <c r="P175" s="142"/>
    </row>
    <row r="176" spans="11:16">
      <c r="K176" s="142"/>
      <c r="P176" s="142"/>
    </row>
    <row r="177" spans="11:16">
      <c r="K177" s="142"/>
      <c r="P177" s="142"/>
    </row>
    <row r="178" spans="11:16">
      <c r="K178" s="142"/>
      <c r="P178" s="142"/>
    </row>
    <row r="179" spans="11:16">
      <c r="K179" s="142"/>
      <c r="P179" s="142"/>
    </row>
    <row r="180" spans="11:16">
      <c r="K180" s="142"/>
      <c r="P180" s="142"/>
    </row>
    <row r="181" spans="11:16">
      <c r="K181" s="142"/>
      <c r="P181" s="142"/>
    </row>
    <row r="182" spans="11:16">
      <c r="K182" s="142"/>
      <c r="P182" s="142"/>
    </row>
    <row r="183" spans="11:16">
      <c r="K183" s="142"/>
      <c r="P183" s="142"/>
    </row>
    <row r="184" spans="11:16">
      <c r="K184" s="142"/>
      <c r="P184" s="142"/>
    </row>
    <row r="185" spans="11:16">
      <c r="K185" s="142"/>
      <c r="P185" s="142"/>
    </row>
    <row r="186" spans="11:16">
      <c r="K186" s="142"/>
      <c r="P186" s="142"/>
    </row>
    <row r="187" spans="11:16">
      <c r="K187" s="142"/>
      <c r="P187" s="142"/>
    </row>
    <row r="188" spans="11:16">
      <c r="K188" s="142"/>
      <c r="P188" s="142"/>
    </row>
    <row r="189" spans="11:16">
      <c r="K189" s="142"/>
      <c r="P189" s="142"/>
    </row>
    <row r="190" spans="11:16">
      <c r="K190" s="142"/>
      <c r="P190" s="142"/>
    </row>
    <row r="191" spans="11:16">
      <c r="K191" s="142"/>
      <c r="P191" s="142"/>
    </row>
    <row r="192" spans="11:16">
      <c r="K192" s="142"/>
      <c r="P192" s="142"/>
    </row>
    <row r="193" spans="11:16">
      <c r="K193" s="142"/>
      <c r="P193" s="142"/>
    </row>
    <row r="194" spans="11:16">
      <c r="K194" s="142"/>
      <c r="P194" s="142"/>
    </row>
    <row r="195" spans="11:16">
      <c r="K195" s="142"/>
      <c r="P195" s="142"/>
    </row>
    <row r="196" spans="11:16">
      <c r="K196" s="142"/>
      <c r="P196" s="142"/>
    </row>
    <row r="197" spans="11:16">
      <c r="K197" s="142"/>
      <c r="P197" s="142"/>
    </row>
    <row r="198" spans="11:16">
      <c r="K198" s="142"/>
      <c r="P198" s="142"/>
    </row>
    <row r="199" spans="11:16">
      <c r="K199" s="142"/>
      <c r="P199" s="142"/>
    </row>
    <row r="200" spans="11:16">
      <c r="K200" s="142"/>
      <c r="P200" s="142"/>
    </row>
    <row r="201" spans="11:16">
      <c r="K201" s="142"/>
      <c r="P201" s="142"/>
    </row>
    <row r="202" spans="11:16">
      <c r="K202" s="142"/>
      <c r="P202" s="142"/>
    </row>
    <row r="203" spans="11:16">
      <c r="K203" s="142"/>
      <c r="P203" s="142"/>
    </row>
    <row r="204" spans="11:16">
      <c r="K204" s="142"/>
      <c r="P204" s="142"/>
    </row>
    <row r="205" spans="11:16">
      <c r="K205" s="142"/>
      <c r="P205" s="142"/>
    </row>
    <row r="206" spans="11:16">
      <c r="K206" s="142"/>
      <c r="P206" s="142"/>
    </row>
    <row r="207" spans="11:16">
      <c r="K207" s="142"/>
      <c r="P207" s="142"/>
    </row>
    <row r="208" spans="11:16">
      <c r="K208" s="142"/>
      <c r="P208" s="142"/>
    </row>
    <row r="209" spans="11:16">
      <c r="K209" s="142"/>
      <c r="P209" s="142"/>
    </row>
    <row r="210" spans="11:16">
      <c r="K210" s="142"/>
      <c r="P210" s="142"/>
    </row>
    <row r="211" spans="11:16">
      <c r="K211" s="142"/>
      <c r="P211" s="142"/>
    </row>
    <row r="212" spans="11:16">
      <c r="K212" s="142"/>
      <c r="P212" s="142"/>
    </row>
    <row r="213" spans="11:16">
      <c r="K213" s="142"/>
      <c r="P213" s="142"/>
    </row>
    <row r="214" spans="11:16">
      <c r="K214" s="142"/>
      <c r="P214" s="142"/>
    </row>
    <row r="215" spans="11:16">
      <c r="K215" s="142"/>
      <c r="P215" s="142"/>
    </row>
    <row r="216" spans="11:16">
      <c r="K216" s="142"/>
      <c r="P216" s="142"/>
    </row>
    <row r="217" spans="11:16">
      <c r="K217" s="142"/>
      <c r="P217" s="142"/>
    </row>
    <row r="218" spans="11:16">
      <c r="K218" s="142"/>
      <c r="P218" s="142"/>
    </row>
    <row r="219" spans="11:16">
      <c r="K219" s="142"/>
      <c r="P219" s="142"/>
    </row>
    <row r="220" spans="11:16">
      <c r="K220" s="142"/>
      <c r="P220" s="142"/>
    </row>
    <row r="221" spans="11:16">
      <c r="K221" s="142"/>
      <c r="P221" s="142"/>
    </row>
    <row r="222" spans="11:16">
      <c r="K222" s="142"/>
      <c r="P222" s="142"/>
    </row>
    <row r="223" spans="11:16">
      <c r="K223" s="142"/>
      <c r="P223" s="142"/>
    </row>
    <row r="224" spans="11:16">
      <c r="K224" s="142"/>
      <c r="P224" s="142"/>
    </row>
    <row r="225" spans="11:16">
      <c r="K225" s="142"/>
      <c r="P225" s="142"/>
    </row>
    <row r="226" spans="11:16">
      <c r="K226" s="142"/>
      <c r="P226" s="142"/>
    </row>
    <row r="227" spans="11:16">
      <c r="K227" s="142"/>
      <c r="P227" s="142"/>
    </row>
    <row r="228" spans="11:16">
      <c r="K228" s="142"/>
      <c r="P228" s="142"/>
    </row>
    <row r="229" spans="11:16">
      <c r="K229" s="142"/>
      <c r="P229" s="142"/>
    </row>
    <row r="230" spans="11:16">
      <c r="K230" s="142"/>
      <c r="P230" s="142"/>
    </row>
    <row r="231" spans="11:16">
      <c r="K231" s="142"/>
      <c r="P231" s="142"/>
    </row>
    <row r="232" spans="11:16">
      <c r="K232" s="142"/>
      <c r="P232" s="142"/>
    </row>
    <row r="233" spans="11:16">
      <c r="K233" s="142"/>
      <c r="P233" s="142"/>
    </row>
    <row r="234" spans="11:16">
      <c r="K234" s="142"/>
      <c r="P234" s="142"/>
    </row>
    <row r="235" spans="11:16">
      <c r="K235" s="142"/>
      <c r="P235" s="142"/>
    </row>
    <row r="236" spans="11:16">
      <c r="K236" s="142"/>
      <c r="P236" s="142"/>
    </row>
    <row r="237" spans="11:16">
      <c r="K237" s="142"/>
      <c r="P237" s="142"/>
    </row>
    <row r="238" spans="11:16">
      <c r="K238" s="142"/>
      <c r="P238" s="142"/>
    </row>
    <row r="239" spans="11:16">
      <c r="K239" s="142"/>
      <c r="P239" s="142"/>
    </row>
    <row r="240" spans="11:16">
      <c r="K240" s="142"/>
      <c r="P240" s="142"/>
    </row>
    <row r="241" spans="11:16">
      <c r="K241" s="142"/>
      <c r="P241" s="142"/>
    </row>
    <row r="242" spans="11:16">
      <c r="K242" s="142"/>
      <c r="P242" s="142"/>
    </row>
    <row r="243" spans="11:16">
      <c r="K243" s="142"/>
      <c r="P243" s="142"/>
    </row>
    <row r="244" spans="11:16">
      <c r="K244" s="142"/>
      <c r="P244" s="142"/>
    </row>
    <row r="245" spans="11:16">
      <c r="K245" s="142"/>
      <c r="P245" s="142"/>
    </row>
    <row r="246" spans="11:16">
      <c r="K246" s="142"/>
      <c r="P246" s="142"/>
    </row>
    <row r="247" spans="11:16">
      <c r="K247" s="142"/>
      <c r="P247" s="142"/>
    </row>
    <row r="248" spans="11:16">
      <c r="K248" s="142"/>
      <c r="P248" s="142"/>
    </row>
    <row r="249" spans="11:16">
      <c r="K249" s="142"/>
      <c r="P249" s="142"/>
    </row>
    <row r="250" spans="11:16">
      <c r="K250" s="142"/>
      <c r="P250" s="142"/>
    </row>
    <row r="251" spans="11:16">
      <c r="K251" s="142"/>
      <c r="P251" s="142"/>
    </row>
    <row r="252" spans="11:16">
      <c r="K252" s="142"/>
      <c r="P252" s="142"/>
    </row>
    <row r="253" spans="11:16">
      <c r="K253" s="142"/>
      <c r="P253" s="142"/>
    </row>
    <row r="254" spans="11:16">
      <c r="K254" s="142"/>
      <c r="P254" s="142"/>
    </row>
    <row r="255" spans="11:16">
      <c r="K255" s="142"/>
      <c r="P255" s="142"/>
    </row>
    <row r="256" spans="11:16">
      <c r="K256" s="142"/>
      <c r="P256" s="142"/>
    </row>
    <row r="257" spans="11:16">
      <c r="K257" s="142"/>
      <c r="P257" s="142"/>
    </row>
    <row r="258" spans="11:16">
      <c r="K258" s="142"/>
      <c r="P258" s="142"/>
    </row>
    <row r="259" spans="11:16">
      <c r="K259" s="142"/>
      <c r="P259" s="142"/>
    </row>
    <row r="260" spans="11:16">
      <c r="K260" s="142"/>
      <c r="P260" s="142"/>
    </row>
    <row r="261" spans="11:16">
      <c r="K261" s="142"/>
      <c r="P261" s="142"/>
    </row>
    <row r="262" spans="11:16">
      <c r="K262" s="142"/>
      <c r="P262" s="142"/>
    </row>
    <row r="263" spans="11:16">
      <c r="K263" s="142"/>
      <c r="P263" s="142"/>
    </row>
    <row r="264" spans="11:16">
      <c r="K264" s="142"/>
      <c r="P264" s="142"/>
    </row>
    <row r="265" spans="11:16">
      <c r="K265" s="142"/>
      <c r="P265" s="142"/>
    </row>
    <row r="266" spans="11:16">
      <c r="K266" s="142"/>
      <c r="P266" s="142"/>
    </row>
    <row r="267" spans="11:16">
      <c r="K267" s="142"/>
      <c r="P267" s="142"/>
    </row>
    <row r="268" spans="11:16">
      <c r="K268" s="142"/>
      <c r="P268" s="142"/>
    </row>
    <row r="269" spans="11:16">
      <c r="K269" s="142"/>
      <c r="P269" s="142"/>
    </row>
    <row r="270" spans="11:16">
      <c r="K270" s="142"/>
      <c r="P270" s="142"/>
    </row>
    <row r="271" spans="11:16">
      <c r="K271" s="142"/>
      <c r="P271" s="142"/>
    </row>
    <row r="272" spans="11:16">
      <c r="K272" s="142"/>
      <c r="P272" s="142"/>
    </row>
    <row r="273" spans="11:16">
      <c r="K273" s="142"/>
      <c r="P273" s="142"/>
    </row>
    <row r="274" spans="11:16">
      <c r="K274" s="142"/>
      <c r="P274" s="142"/>
    </row>
    <row r="275" spans="11:16">
      <c r="K275" s="142"/>
      <c r="P275" s="142"/>
    </row>
    <row r="276" spans="11:16">
      <c r="K276" s="142"/>
      <c r="P276" s="142"/>
    </row>
    <row r="277" spans="11:16">
      <c r="K277" s="142"/>
      <c r="P277" s="142"/>
    </row>
    <row r="278" spans="11:16">
      <c r="K278" s="142"/>
      <c r="P278" s="142"/>
    </row>
    <row r="279" spans="11:16">
      <c r="K279" s="142"/>
      <c r="P279" s="142"/>
    </row>
    <row r="280" spans="11:16">
      <c r="K280" s="142"/>
      <c r="P280" s="142"/>
    </row>
    <row r="281" spans="11:16">
      <c r="K281" s="142"/>
      <c r="P281" s="142"/>
    </row>
    <row r="282" spans="11:16">
      <c r="K282" s="142"/>
      <c r="P282" s="142"/>
    </row>
    <row r="283" spans="11:16">
      <c r="K283" s="142"/>
      <c r="P283" s="142"/>
    </row>
    <row r="284" spans="11:16">
      <c r="K284" s="142"/>
      <c r="P284" s="142"/>
    </row>
    <row r="285" spans="11:16">
      <c r="K285" s="142"/>
      <c r="P285" s="142"/>
    </row>
    <row r="286" spans="11:16">
      <c r="K286" s="142"/>
      <c r="P286" s="142"/>
    </row>
    <row r="287" spans="11:16">
      <c r="K287" s="142"/>
      <c r="P287" s="142"/>
    </row>
    <row r="288" spans="11:16">
      <c r="K288" s="142"/>
      <c r="P288" s="142"/>
    </row>
    <row r="289" spans="11:16">
      <c r="K289" s="142"/>
      <c r="P289" s="142"/>
    </row>
    <row r="290" spans="11:16">
      <c r="K290" s="142"/>
      <c r="P290" s="142"/>
    </row>
    <row r="291" spans="11:16">
      <c r="K291" s="142"/>
      <c r="P291" s="142"/>
    </row>
    <row r="292" spans="11:16">
      <c r="K292" s="142"/>
      <c r="P292" s="142"/>
    </row>
    <row r="293" spans="11:16">
      <c r="K293" s="142"/>
      <c r="P293" s="142"/>
    </row>
    <row r="294" spans="11:16">
      <c r="K294" s="142"/>
      <c r="P294" s="142"/>
    </row>
    <row r="295" spans="11:16">
      <c r="K295" s="142"/>
      <c r="P295" s="142"/>
    </row>
    <row r="296" spans="11:16">
      <c r="K296" s="142"/>
      <c r="P296" s="142"/>
    </row>
    <row r="297" spans="11:16">
      <c r="K297" s="142"/>
      <c r="P297" s="142"/>
    </row>
    <row r="298" spans="11:16">
      <c r="K298" s="142"/>
      <c r="P298" s="142"/>
    </row>
    <row r="299" spans="11:16">
      <c r="K299" s="142"/>
      <c r="P299" s="142"/>
    </row>
    <row r="300" spans="11:16">
      <c r="K300" s="142"/>
      <c r="P300" s="142"/>
    </row>
    <row r="301" spans="11:16">
      <c r="K301" s="142"/>
      <c r="P301" s="142"/>
    </row>
    <row r="302" spans="11:16">
      <c r="K302" s="142"/>
      <c r="P302" s="142"/>
    </row>
    <row r="303" spans="11:16">
      <c r="K303" s="142"/>
      <c r="P303" s="142"/>
    </row>
    <row r="304" spans="11:16">
      <c r="K304" s="142"/>
      <c r="P304" s="142"/>
    </row>
    <row r="305" spans="11:16">
      <c r="K305" s="142"/>
      <c r="P305" s="142"/>
    </row>
    <row r="306" spans="11:16">
      <c r="K306" s="142"/>
      <c r="P306" s="142"/>
    </row>
    <row r="307" spans="11:16">
      <c r="K307" s="142"/>
      <c r="P307" s="142"/>
    </row>
    <row r="308" spans="11:16">
      <c r="K308" s="142"/>
      <c r="P308" s="142"/>
    </row>
    <row r="309" spans="11:16">
      <c r="K309" s="142"/>
      <c r="P309" s="142"/>
    </row>
    <row r="310" spans="11:16">
      <c r="K310" s="142"/>
      <c r="P310" s="142"/>
    </row>
    <row r="311" spans="11:16">
      <c r="K311" s="142"/>
      <c r="P311" s="142"/>
    </row>
    <row r="312" spans="11:16">
      <c r="K312" s="142"/>
      <c r="P312" s="142"/>
    </row>
    <row r="313" spans="11:16">
      <c r="K313" s="142"/>
      <c r="P313" s="142"/>
    </row>
    <row r="314" spans="11:16">
      <c r="K314" s="142"/>
      <c r="P314" s="142"/>
    </row>
    <row r="315" spans="11:16">
      <c r="K315" s="142"/>
      <c r="P315" s="142"/>
    </row>
    <row r="316" spans="11:16">
      <c r="K316" s="142"/>
      <c r="P316" s="142"/>
    </row>
    <row r="317" spans="11:16">
      <c r="K317" s="142"/>
      <c r="P317" s="142"/>
    </row>
    <row r="318" spans="11:16">
      <c r="K318" s="142"/>
      <c r="P318" s="142"/>
    </row>
    <row r="319" spans="11:16">
      <c r="K319" s="142"/>
      <c r="P319" s="142"/>
    </row>
    <row r="320" spans="11:16">
      <c r="K320" s="142"/>
      <c r="P320" s="142"/>
    </row>
    <row r="321" spans="11:16">
      <c r="K321" s="142"/>
      <c r="P321" s="142"/>
    </row>
    <row r="322" spans="11:16">
      <c r="K322" s="142"/>
      <c r="P322" s="142"/>
    </row>
    <row r="323" spans="11:16">
      <c r="K323" s="142"/>
      <c r="P323" s="142"/>
    </row>
    <row r="324" spans="11:16">
      <c r="K324" s="142"/>
      <c r="P324" s="142"/>
    </row>
    <row r="325" spans="11:16">
      <c r="K325" s="142"/>
      <c r="P325" s="142"/>
    </row>
    <row r="326" spans="11:16">
      <c r="K326" s="142"/>
      <c r="P326" s="142"/>
    </row>
    <row r="327" spans="11:16">
      <c r="K327" s="142"/>
      <c r="P327" s="142"/>
    </row>
    <row r="328" spans="11:16">
      <c r="K328" s="142"/>
      <c r="P328" s="142"/>
    </row>
    <row r="329" spans="11:16">
      <c r="K329" s="142"/>
      <c r="P329" s="142"/>
    </row>
    <row r="330" spans="11:16">
      <c r="K330" s="142"/>
      <c r="P330" s="142"/>
    </row>
    <row r="331" spans="11:16">
      <c r="K331" s="142"/>
      <c r="P331" s="142"/>
    </row>
    <row r="332" spans="11:16">
      <c r="K332" s="142"/>
      <c r="P332" s="142"/>
    </row>
    <row r="333" spans="11:16">
      <c r="K333" s="142"/>
      <c r="P333" s="142"/>
    </row>
    <row r="334" spans="11:16">
      <c r="K334" s="142"/>
      <c r="P334" s="142"/>
    </row>
    <row r="335" spans="11:16">
      <c r="K335" s="142"/>
      <c r="P335" s="142"/>
    </row>
    <row r="336" spans="11:16">
      <c r="K336" s="142"/>
      <c r="P336" s="142"/>
    </row>
    <row r="337" spans="11:16">
      <c r="K337" s="142"/>
      <c r="P337" s="142"/>
    </row>
    <row r="338" spans="11:16">
      <c r="K338" s="142"/>
      <c r="P338" s="142"/>
    </row>
    <row r="339" spans="11:16">
      <c r="K339" s="142"/>
      <c r="P339" s="142"/>
    </row>
    <row r="340" spans="11:16">
      <c r="K340" s="142"/>
      <c r="P340" s="142"/>
    </row>
    <row r="341" spans="11:16">
      <c r="K341" s="142"/>
      <c r="P341" s="142"/>
    </row>
    <row r="342" spans="11:16">
      <c r="K342" s="142"/>
      <c r="P342" s="142"/>
    </row>
    <row r="343" spans="11:16">
      <c r="K343" s="142"/>
      <c r="P343" s="142"/>
    </row>
    <row r="344" spans="11:16">
      <c r="K344" s="142"/>
      <c r="P344" s="142"/>
    </row>
    <row r="345" spans="11:16">
      <c r="K345" s="142"/>
      <c r="P345" s="142"/>
    </row>
    <row r="346" spans="11:16">
      <c r="K346" s="142"/>
      <c r="P346" s="142"/>
    </row>
    <row r="347" spans="11:16">
      <c r="K347" s="142"/>
      <c r="P347" s="142"/>
    </row>
    <row r="348" spans="11:16">
      <c r="K348" s="142"/>
      <c r="P348" s="142"/>
    </row>
    <row r="349" spans="11:16">
      <c r="K349" s="142"/>
      <c r="P349" s="142"/>
    </row>
    <row r="350" spans="11:16">
      <c r="K350" s="142"/>
      <c r="P350" s="142"/>
    </row>
    <row r="351" spans="11:16">
      <c r="K351" s="142"/>
      <c r="P351" s="142"/>
    </row>
    <row r="352" spans="11:16">
      <c r="K352" s="142"/>
      <c r="P352" s="142"/>
    </row>
    <row r="353" spans="11:16">
      <c r="K353" s="142"/>
      <c r="P353" s="142"/>
    </row>
    <row r="354" spans="11:16">
      <c r="K354" s="142"/>
      <c r="P354" s="142"/>
    </row>
    <row r="355" spans="11:16">
      <c r="K355" s="142"/>
      <c r="P355" s="142"/>
    </row>
    <row r="356" spans="11:16">
      <c r="K356" s="142"/>
      <c r="P356" s="142"/>
    </row>
    <row r="357" spans="11:16">
      <c r="K357" s="142"/>
      <c r="P357" s="142"/>
    </row>
    <row r="358" spans="11:16">
      <c r="K358" s="142"/>
      <c r="P358" s="142"/>
    </row>
    <row r="359" spans="11:16">
      <c r="K359" s="142"/>
      <c r="P359" s="142"/>
    </row>
    <row r="360" spans="11:16">
      <c r="K360" s="142"/>
      <c r="P360" s="142"/>
    </row>
    <row r="361" spans="11:16">
      <c r="K361" s="142"/>
      <c r="P361" s="142"/>
    </row>
    <row r="362" spans="11:16">
      <c r="K362" s="142"/>
      <c r="P362" s="142"/>
    </row>
    <row r="363" spans="11:16">
      <c r="K363" s="142"/>
      <c r="P363" s="142"/>
    </row>
    <row r="364" spans="11:16">
      <c r="K364" s="142"/>
      <c r="P364" s="142"/>
    </row>
    <row r="365" spans="11:16">
      <c r="K365" s="142"/>
      <c r="P365" s="142"/>
    </row>
    <row r="366" spans="11:16">
      <c r="K366" s="142"/>
      <c r="P366" s="142"/>
    </row>
    <row r="367" spans="11:16">
      <c r="K367" s="142"/>
      <c r="P367" s="142"/>
    </row>
    <row r="368" spans="11:16">
      <c r="K368" s="142"/>
      <c r="P368" s="142"/>
    </row>
    <row r="369" spans="11:16">
      <c r="K369" s="142"/>
      <c r="P369" s="142"/>
    </row>
    <row r="370" spans="11:16">
      <c r="K370" s="142"/>
      <c r="P370" s="142"/>
    </row>
    <row r="371" spans="11:16">
      <c r="K371" s="142"/>
      <c r="P371" s="142"/>
    </row>
    <row r="372" spans="11:16">
      <c r="K372" s="142"/>
      <c r="P372" s="142"/>
    </row>
    <row r="373" spans="11:16">
      <c r="K373" s="142"/>
      <c r="P373" s="142"/>
    </row>
    <row r="374" spans="11:16">
      <c r="K374" s="142"/>
      <c r="P374" s="142"/>
    </row>
    <row r="375" spans="11:16">
      <c r="K375" s="142"/>
      <c r="P375" s="142"/>
    </row>
    <row r="376" spans="11:16">
      <c r="K376" s="142"/>
      <c r="P376" s="142"/>
    </row>
    <row r="377" spans="11:16">
      <c r="K377" s="142"/>
      <c r="P377" s="142"/>
    </row>
    <row r="378" spans="11:16">
      <c r="K378" s="142"/>
      <c r="P378" s="142"/>
    </row>
    <row r="379" spans="11:16">
      <c r="K379" s="142"/>
      <c r="P379" s="142"/>
    </row>
    <row r="380" spans="11:16">
      <c r="K380" s="142"/>
      <c r="P380" s="142"/>
    </row>
    <row r="381" spans="11:16">
      <c r="K381" s="142"/>
      <c r="P381" s="142"/>
    </row>
    <row r="382" spans="11:16">
      <c r="K382" s="142"/>
      <c r="P382" s="142"/>
    </row>
    <row r="383" spans="11:16">
      <c r="K383" s="142"/>
      <c r="P383" s="142"/>
    </row>
    <row r="384" spans="11:16">
      <c r="K384" s="142"/>
      <c r="P384" s="142"/>
    </row>
    <row r="385" spans="11:16">
      <c r="K385" s="142"/>
      <c r="P385" s="142"/>
    </row>
    <row r="386" spans="11:16">
      <c r="K386" s="142"/>
      <c r="P386" s="142"/>
    </row>
    <row r="387" spans="11:16">
      <c r="K387" s="142"/>
      <c r="P387" s="142"/>
    </row>
    <row r="388" spans="11:16">
      <c r="K388" s="142"/>
      <c r="P388" s="142"/>
    </row>
    <row r="389" spans="11:16">
      <c r="K389" s="142"/>
      <c r="P389" s="142"/>
    </row>
    <row r="390" spans="11:16">
      <c r="K390" s="142"/>
      <c r="P390" s="142"/>
    </row>
    <row r="391" spans="11:16">
      <c r="K391" s="142"/>
      <c r="P391" s="142"/>
    </row>
    <row r="392" spans="11:16">
      <c r="K392" s="142"/>
      <c r="P392" s="142"/>
    </row>
    <row r="393" spans="11:16">
      <c r="K393" s="142"/>
      <c r="P393" s="142"/>
    </row>
    <row r="394" spans="11:16">
      <c r="K394" s="142"/>
      <c r="P394" s="142"/>
    </row>
    <row r="395" spans="11:16">
      <c r="K395" s="142"/>
      <c r="P395" s="142"/>
    </row>
    <row r="396" spans="11:16">
      <c r="K396" s="142"/>
      <c r="P396" s="142"/>
    </row>
    <row r="397" spans="11:16">
      <c r="K397" s="142"/>
      <c r="P397" s="142"/>
    </row>
    <row r="398" spans="11:16">
      <c r="K398" s="142"/>
      <c r="P398" s="142"/>
    </row>
    <row r="399" spans="11:16">
      <c r="K399" s="142"/>
      <c r="P399" s="142"/>
    </row>
    <row r="400" spans="11:16">
      <c r="K400" s="142"/>
      <c r="P400" s="142"/>
    </row>
    <row r="401" spans="11:16">
      <c r="K401" s="142"/>
      <c r="P401" s="142"/>
    </row>
    <row r="402" spans="11:16">
      <c r="K402" s="142"/>
      <c r="P402" s="142"/>
    </row>
    <row r="403" spans="11:16">
      <c r="K403" s="142"/>
      <c r="P403" s="142"/>
    </row>
    <row r="404" spans="11:16">
      <c r="K404" s="142"/>
      <c r="P404" s="142"/>
    </row>
    <row r="405" spans="11:16">
      <c r="K405" s="142"/>
      <c r="P405" s="142"/>
    </row>
    <row r="406" spans="11:16">
      <c r="K406" s="142"/>
      <c r="P406" s="142"/>
    </row>
    <row r="407" spans="11:16">
      <c r="K407" s="142"/>
      <c r="P407" s="142"/>
    </row>
    <row r="408" spans="11:16">
      <c r="K408" s="142"/>
      <c r="P408" s="142"/>
    </row>
    <row r="409" spans="11:16">
      <c r="K409" s="142"/>
      <c r="P409" s="142"/>
    </row>
    <row r="410" spans="11:16">
      <c r="K410" s="142"/>
      <c r="P410" s="142"/>
    </row>
    <row r="411" spans="11:16">
      <c r="K411" s="142"/>
      <c r="P411" s="142"/>
    </row>
    <row r="412" spans="11:16">
      <c r="K412" s="142"/>
      <c r="P412" s="142"/>
    </row>
    <row r="413" spans="11:16">
      <c r="K413" s="142"/>
      <c r="P413" s="142"/>
    </row>
    <row r="414" spans="11:16">
      <c r="K414" s="142"/>
      <c r="P414" s="142"/>
    </row>
    <row r="415" spans="11:16">
      <c r="K415" s="142"/>
      <c r="P415" s="142"/>
    </row>
    <row r="416" spans="11:16">
      <c r="K416" s="142"/>
      <c r="P416" s="142"/>
    </row>
    <row r="417" spans="11:16">
      <c r="K417" s="142"/>
      <c r="P417" s="142"/>
    </row>
    <row r="418" spans="11:16">
      <c r="K418" s="142"/>
      <c r="P418" s="142"/>
    </row>
    <row r="419" spans="11:16">
      <c r="K419" s="142"/>
      <c r="P419" s="142"/>
    </row>
    <row r="420" spans="11:16">
      <c r="K420" s="142"/>
      <c r="P420" s="142"/>
    </row>
    <row r="421" spans="11:16">
      <c r="K421" s="142"/>
      <c r="P421" s="142"/>
    </row>
    <row r="422" spans="11:16">
      <c r="K422" s="142"/>
      <c r="P422" s="142"/>
    </row>
    <row r="423" spans="11:16">
      <c r="K423" s="142"/>
      <c r="P423" s="142"/>
    </row>
    <row r="424" spans="11:16">
      <c r="K424" s="142"/>
      <c r="P424" s="142"/>
    </row>
    <row r="425" spans="11:16">
      <c r="K425" s="142"/>
      <c r="P425" s="142"/>
    </row>
    <row r="426" spans="11:16">
      <c r="K426" s="142"/>
      <c r="P426" s="142"/>
    </row>
    <row r="427" spans="11:16">
      <c r="K427" s="142"/>
      <c r="P427" s="142"/>
    </row>
    <row r="428" spans="11:16">
      <c r="K428" s="142"/>
      <c r="P428" s="142"/>
    </row>
    <row r="429" spans="11:16">
      <c r="K429" s="142"/>
      <c r="P429" s="142"/>
    </row>
    <row r="430" spans="11:16">
      <c r="K430" s="142"/>
      <c r="P430" s="142"/>
    </row>
    <row r="431" spans="11:16">
      <c r="K431" s="142"/>
      <c r="P431" s="142"/>
    </row>
    <row r="432" spans="11:16">
      <c r="K432" s="142"/>
      <c r="P432" s="142"/>
    </row>
    <row r="433" spans="11:16">
      <c r="K433" s="142"/>
      <c r="P433" s="142"/>
    </row>
    <row r="434" spans="11:16">
      <c r="K434" s="142"/>
      <c r="P434" s="142"/>
    </row>
    <row r="435" spans="11:16">
      <c r="K435" s="142"/>
      <c r="P435" s="142"/>
    </row>
    <row r="436" spans="11:16">
      <c r="K436" s="142"/>
      <c r="P436" s="142"/>
    </row>
    <row r="437" spans="11:16">
      <c r="K437" s="142"/>
      <c r="P437" s="142"/>
    </row>
    <row r="438" spans="11:16">
      <c r="K438" s="142"/>
      <c r="P438" s="142"/>
    </row>
    <row r="439" spans="11:16">
      <c r="K439" s="142"/>
      <c r="P439" s="142"/>
    </row>
    <row r="440" spans="11:16">
      <c r="K440" s="142"/>
      <c r="P440" s="142"/>
    </row>
    <row r="441" spans="11:16">
      <c r="K441" s="142"/>
      <c r="P441" s="142"/>
    </row>
    <row r="442" spans="11:16">
      <c r="K442" s="142"/>
      <c r="P442" s="142"/>
    </row>
    <row r="443" spans="11:16">
      <c r="K443" s="142"/>
      <c r="P443" s="142"/>
    </row>
    <row r="444" spans="11:16">
      <c r="K444" s="142"/>
      <c r="P444" s="142"/>
    </row>
    <row r="445" spans="11:16">
      <c r="K445" s="142"/>
      <c r="P445" s="142"/>
    </row>
    <row r="446" spans="11:16">
      <c r="K446" s="142"/>
      <c r="P446" s="142"/>
    </row>
    <row r="447" spans="11:16">
      <c r="K447" s="142"/>
      <c r="P447" s="142"/>
    </row>
    <row r="448" spans="11:16">
      <c r="K448" s="142"/>
      <c r="P448" s="142"/>
    </row>
    <row r="449" spans="11:16">
      <c r="K449" s="142"/>
      <c r="P449" s="142"/>
    </row>
    <row r="450" spans="11:16">
      <c r="K450" s="142"/>
      <c r="P450" s="142"/>
    </row>
    <row r="451" spans="11:16">
      <c r="K451" s="142"/>
      <c r="P451" s="142"/>
    </row>
    <row r="452" spans="11:16">
      <c r="K452" s="142"/>
      <c r="P452" s="142"/>
    </row>
    <row r="453" spans="11:16">
      <c r="K453" s="142"/>
      <c r="P453" s="142"/>
    </row>
    <row r="454" spans="11:16">
      <c r="K454" s="142"/>
      <c r="P454" s="142"/>
    </row>
    <row r="455" spans="11:16">
      <c r="K455" s="142"/>
      <c r="P455" s="142"/>
    </row>
    <row r="456" spans="11:16">
      <c r="K456" s="142"/>
      <c r="P456" s="142"/>
    </row>
    <row r="457" spans="11:16">
      <c r="K457" s="142"/>
      <c r="P457" s="142"/>
    </row>
    <row r="458" spans="11:16">
      <c r="K458" s="142"/>
      <c r="P458" s="142"/>
    </row>
    <row r="459" spans="11:16">
      <c r="K459" s="142"/>
      <c r="P459" s="142"/>
    </row>
    <row r="460" spans="11:16">
      <c r="K460" s="142"/>
      <c r="P460" s="142"/>
    </row>
    <row r="461" spans="11:16">
      <c r="K461" s="142"/>
      <c r="P461" s="142"/>
    </row>
    <row r="462" spans="11:16">
      <c r="K462" s="142"/>
      <c r="P462" s="142"/>
    </row>
    <row r="463" spans="11:16">
      <c r="K463" s="142"/>
      <c r="P463" s="142"/>
    </row>
    <row r="464" spans="11:16">
      <c r="K464" s="142"/>
      <c r="P464" s="142"/>
    </row>
    <row r="465" spans="11:16">
      <c r="K465" s="142"/>
      <c r="P465" s="142"/>
    </row>
    <row r="466" spans="11:16">
      <c r="K466" s="142"/>
      <c r="P466" s="142"/>
    </row>
    <row r="467" spans="11:16">
      <c r="K467" s="142"/>
      <c r="P467" s="142"/>
    </row>
    <row r="468" spans="11:16">
      <c r="K468" s="142"/>
      <c r="P468" s="142"/>
    </row>
    <row r="469" spans="11:16">
      <c r="K469" s="142"/>
      <c r="P469" s="142"/>
    </row>
    <row r="470" spans="11:16">
      <c r="K470" s="142"/>
      <c r="P470" s="142"/>
    </row>
    <row r="471" spans="11:16">
      <c r="K471" s="142"/>
      <c r="P471" s="142"/>
    </row>
    <row r="472" spans="11:16">
      <c r="K472" s="142"/>
      <c r="P472" s="142"/>
    </row>
    <row r="473" spans="11:16">
      <c r="K473" s="142"/>
      <c r="P473" s="142"/>
    </row>
    <row r="474" spans="11:16">
      <c r="K474" s="142"/>
      <c r="P474" s="142"/>
    </row>
    <row r="475" spans="11:16">
      <c r="K475" s="142"/>
      <c r="P475" s="142"/>
    </row>
    <row r="476" spans="11:16">
      <c r="K476" s="142"/>
      <c r="P476" s="142"/>
    </row>
    <row r="477" spans="11:16">
      <c r="K477" s="142"/>
      <c r="P477" s="142"/>
    </row>
    <row r="478" spans="11:16">
      <c r="K478" s="142"/>
      <c r="P478" s="142"/>
    </row>
    <row r="479" spans="11:16">
      <c r="K479" s="142"/>
      <c r="P479" s="142"/>
    </row>
    <row r="480" spans="11:16">
      <c r="K480" s="142"/>
      <c r="P480" s="142"/>
    </row>
    <row r="481" spans="11:16">
      <c r="K481" s="142"/>
      <c r="P481" s="142"/>
    </row>
    <row r="482" spans="11:16">
      <c r="K482" s="142"/>
      <c r="P482" s="142"/>
    </row>
    <row r="483" spans="11:16">
      <c r="K483" s="142"/>
      <c r="P483" s="142"/>
    </row>
    <row r="484" spans="11:16">
      <c r="K484" s="142"/>
      <c r="P484" s="142"/>
    </row>
    <row r="485" spans="11:16">
      <c r="K485" s="142"/>
      <c r="P485" s="142"/>
    </row>
    <row r="486" spans="11:16">
      <c r="K486" s="142"/>
      <c r="P486" s="142"/>
    </row>
    <row r="487" spans="11:16">
      <c r="K487" s="142"/>
      <c r="P487" s="142"/>
    </row>
    <row r="488" spans="11:16">
      <c r="K488" s="142"/>
      <c r="P488" s="142"/>
    </row>
    <row r="489" spans="11:16">
      <c r="K489" s="142"/>
      <c r="P489" s="142"/>
    </row>
    <row r="490" spans="11:16">
      <c r="K490" s="142"/>
      <c r="P490" s="142"/>
    </row>
    <row r="491" spans="11:16">
      <c r="K491" s="142"/>
      <c r="P491" s="142"/>
    </row>
    <row r="492" spans="11:16">
      <c r="K492" s="142"/>
      <c r="P492" s="142"/>
    </row>
    <row r="493" spans="11:16">
      <c r="K493" s="142"/>
      <c r="P493" s="142"/>
    </row>
    <row r="494" spans="11:16">
      <c r="K494" s="142"/>
      <c r="P494" s="142"/>
    </row>
    <row r="495" spans="11:16">
      <c r="K495" s="142"/>
      <c r="P495" s="142"/>
    </row>
    <row r="496" spans="11:16">
      <c r="K496" s="142"/>
      <c r="P496" s="142"/>
    </row>
    <row r="497" spans="11:16">
      <c r="K497" s="142"/>
      <c r="P497" s="142"/>
    </row>
    <row r="498" spans="11:16">
      <c r="K498" s="142"/>
      <c r="P498" s="142"/>
    </row>
    <row r="499" spans="11:16">
      <c r="K499" s="142"/>
      <c r="P499" s="142"/>
    </row>
    <row r="500" spans="11:16">
      <c r="K500" s="142"/>
      <c r="P500" s="142"/>
    </row>
    <row r="501" spans="11:16">
      <c r="K501" s="142"/>
      <c r="P501" s="142"/>
    </row>
    <row r="502" spans="11:16">
      <c r="K502" s="142"/>
      <c r="P502" s="142"/>
    </row>
    <row r="503" spans="11:16">
      <c r="K503" s="142"/>
      <c r="P503" s="142"/>
    </row>
    <row r="504" spans="11:16">
      <c r="K504" s="142"/>
      <c r="P504" s="142"/>
    </row>
    <row r="505" spans="11:16">
      <c r="K505" s="142"/>
      <c r="P505" s="142"/>
    </row>
    <row r="506" spans="11:16">
      <c r="K506" s="142"/>
      <c r="P506" s="142"/>
    </row>
    <row r="507" spans="11:16">
      <c r="K507" s="142"/>
      <c r="P507" s="142"/>
    </row>
    <row r="508" spans="11:16">
      <c r="K508" s="142"/>
      <c r="P508" s="142"/>
    </row>
    <row r="509" spans="11:16">
      <c r="K509" s="142"/>
      <c r="P509" s="142"/>
    </row>
    <row r="510" spans="11:16">
      <c r="K510" s="142"/>
      <c r="P510" s="142"/>
    </row>
    <row r="511" spans="11:16">
      <c r="K511" s="142"/>
      <c r="P511" s="142"/>
    </row>
    <row r="512" spans="11:16">
      <c r="K512" s="142"/>
      <c r="P512" s="142"/>
    </row>
    <row r="513" spans="11:16">
      <c r="K513" s="142"/>
      <c r="P513" s="142"/>
    </row>
    <row r="514" spans="11:16">
      <c r="K514" s="142"/>
      <c r="P514" s="142"/>
    </row>
    <row r="515" spans="11:16">
      <c r="K515" s="142"/>
      <c r="P515" s="142"/>
    </row>
    <row r="516" spans="11:16">
      <c r="K516" s="142"/>
      <c r="P516" s="142"/>
    </row>
    <row r="517" spans="11:16">
      <c r="K517" s="142"/>
      <c r="P517" s="142"/>
    </row>
    <row r="518" spans="11:16">
      <c r="K518" s="142"/>
      <c r="P518" s="142"/>
    </row>
    <row r="519" spans="11:16">
      <c r="K519" s="142"/>
      <c r="P519" s="142"/>
    </row>
    <row r="520" spans="11:16">
      <c r="K520" s="142"/>
      <c r="P520" s="142"/>
    </row>
    <row r="521" spans="11:16">
      <c r="K521" s="142"/>
      <c r="P521" s="142"/>
    </row>
    <row r="522" spans="11:16">
      <c r="K522" s="142"/>
      <c r="P522" s="142"/>
    </row>
    <row r="523" spans="11:16">
      <c r="K523" s="142"/>
      <c r="P523" s="142"/>
    </row>
    <row r="524" spans="11:16">
      <c r="K524" s="142"/>
      <c r="P524" s="142"/>
    </row>
    <row r="525" spans="11:16">
      <c r="K525" s="142"/>
      <c r="P525" s="142"/>
    </row>
    <row r="526" spans="11:16">
      <c r="K526" s="142"/>
      <c r="P526" s="142"/>
    </row>
    <row r="527" spans="11:16">
      <c r="K527" s="142"/>
      <c r="P527" s="142"/>
    </row>
    <row r="528" spans="11:16">
      <c r="K528" s="142"/>
      <c r="P528" s="142"/>
    </row>
    <row r="529" spans="11:16">
      <c r="K529" s="142"/>
      <c r="P529" s="142"/>
    </row>
    <row r="530" spans="11:16">
      <c r="K530" s="142"/>
      <c r="P530" s="142"/>
    </row>
    <row r="531" spans="11:16">
      <c r="K531" s="142"/>
      <c r="P531" s="142"/>
    </row>
    <row r="532" spans="11:16">
      <c r="K532" s="142"/>
      <c r="P532" s="142"/>
    </row>
    <row r="533" spans="11:16">
      <c r="K533" s="142"/>
      <c r="P533" s="142"/>
    </row>
    <row r="534" spans="11:16">
      <c r="K534" s="142"/>
      <c r="P534" s="142"/>
    </row>
    <row r="535" spans="11:16">
      <c r="K535" s="142"/>
      <c r="P535" s="142"/>
    </row>
    <row r="536" spans="11:16">
      <c r="K536" s="142"/>
      <c r="P536" s="142"/>
    </row>
    <row r="537" spans="11:16">
      <c r="K537" s="142"/>
      <c r="P537" s="142"/>
    </row>
    <row r="538" spans="11:16">
      <c r="K538" s="142"/>
      <c r="P538" s="142"/>
    </row>
    <row r="539" spans="11:16">
      <c r="K539" s="142"/>
      <c r="P539" s="142"/>
    </row>
    <row r="540" spans="11:16">
      <c r="K540" s="142"/>
      <c r="P540" s="142"/>
    </row>
    <row r="541" spans="11:16">
      <c r="K541" s="142"/>
      <c r="P541" s="142"/>
    </row>
    <row r="542" spans="11:16">
      <c r="K542" s="142"/>
      <c r="P542" s="142"/>
    </row>
    <row r="543" spans="11:16">
      <c r="K543" s="142"/>
      <c r="P543" s="142"/>
    </row>
    <row r="544" spans="11:16">
      <c r="K544" s="142"/>
      <c r="P544" s="142"/>
    </row>
    <row r="545" spans="11:16">
      <c r="K545" s="142"/>
      <c r="P545" s="142"/>
    </row>
    <row r="546" spans="11:16">
      <c r="K546" s="142"/>
      <c r="P546" s="142"/>
    </row>
    <row r="547" spans="11:16">
      <c r="K547" s="142"/>
      <c r="P547" s="142"/>
    </row>
    <row r="548" spans="11:16">
      <c r="K548" s="142"/>
      <c r="P548" s="142"/>
    </row>
    <row r="549" spans="11:16">
      <c r="K549" s="142"/>
      <c r="P549" s="142"/>
    </row>
    <row r="550" spans="11:16">
      <c r="K550" s="142"/>
      <c r="P550" s="142"/>
    </row>
    <row r="551" spans="11:16">
      <c r="K551" s="142"/>
      <c r="P551" s="142"/>
    </row>
    <row r="552" spans="11:16">
      <c r="K552" s="142"/>
      <c r="P552" s="142"/>
    </row>
    <row r="553" spans="11:16">
      <c r="K553" s="142"/>
      <c r="P553" s="142"/>
    </row>
    <row r="554" spans="11:16">
      <c r="K554" s="142"/>
      <c r="P554" s="142"/>
    </row>
    <row r="555" spans="11:16">
      <c r="K555" s="142"/>
      <c r="P555" s="142"/>
    </row>
    <row r="556" spans="11:16">
      <c r="K556" s="142"/>
      <c r="P556" s="142"/>
    </row>
    <row r="557" spans="11:16">
      <c r="K557" s="142"/>
      <c r="P557" s="142"/>
    </row>
    <row r="558" spans="11:16">
      <c r="K558" s="142"/>
      <c r="P558" s="142"/>
    </row>
    <row r="559" spans="11:16">
      <c r="K559" s="142"/>
      <c r="P559" s="142"/>
    </row>
    <row r="560" spans="11:16">
      <c r="K560" s="142"/>
      <c r="P560" s="142"/>
    </row>
    <row r="561" spans="11:16">
      <c r="K561" s="142"/>
      <c r="P561" s="142"/>
    </row>
    <row r="562" spans="11:16">
      <c r="K562" s="142"/>
      <c r="P562" s="142"/>
    </row>
    <row r="563" spans="11:16">
      <c r="K563" s="142"/>
      <c r="P563" s="142"/>
    </row>
    <row r="564" spans="11:16">
      <c r="K564" s="142"/>
      <c r="P564" s="142"/>
    </row>
    <row r="565" spans="11:16">
      <c r="K565" s="142"/>
      <c r="P565" s="142"/>
    </row>
    <row r="566" spans="11:16">
      <c r="K566" s="142"/>
      <c r="P566" s="142"/>
    </row>
    <row r="567" spans="11:16">
      <c r="K567" s="142"/>
      <c r="P567" s="142"/>
    </row>
    <row r="568" spans="11:16">
      <c r="K568" s="142"/>
      <c r="P568" s="142"/>
    </row>
    <row r="569" spans="11:16">
      <c r="K569" s="142"/>
      <c r="P569" s="142"/>
    </row>
    <row r="570" spans="11:16">
      <c r="K570" s="142"/>
      <c r="P570" s="142"/>
    </row>
    <row r="571" spans="11:16">
      <c r="K571" s="142"/>
      <c r="P571" s="142"/>
    </row>
    <row r="572" spans="11:16">
      <c r="K572" s="142"/>
      <c r="P572" s="142"/>
    </row>
    <row r="573" spans="11:16">
      <c r="K573" s="142"/>
      <c r="P573" s="142"/>
    </row>
    <row r="574" spans="11:16">
      <c r="K574" s="142"/>
      <c r="P574" s="142"/>
    </row>
    <row r="575" spans="11:16">
      <c r="K575" s="142"/>
      <c r="P575" s="142"/>
    </row>
    <row r="576" spans="11:16">
      <c r="K576" s="142"/>
      <c r="P576" s="142"/>
    </row>
    <row r="577" spans="11:16">
      <c r="K577" s="142"/>
      <c r="P577" s="142"/>
    </row>
    <row r="578" spans="11:16">
      <c r="K578" s="142"/>
      <c r="P578" s="142"/>
    </row>
    <row r="579" spans="11:16">
      <c r="K579" s="142"/>
      <c r="P579" s="142"/>
    </row>
    <row r="580" spans="11:16">
      <c r="K580" s="142"/>
      <c r="P580" s="142"/>
    </row>
    <row r="581" spans="11:16">
      <c r="K581" s="142"/>
      <c r="P581" s="142"/>
    </row>
    <row r="582" spans="11:16">
      <c r="K582" s="142"/>
      <c r="P582" s="142"/>
    </row>
    <row r="583" spans="11:16">
      <c r="K583" s="142"/>
      <c r="P583" s="142"/>
    </row>
    <row r="584" spans="11:16">
      <c r="K584" s="142"/>
      <c r="P584" s="142"/>
    </row>
    <row r="585" spans="11:16">
      <c r="K585" s="142"/>
      <c r="P585" s="142"/>
    </row>
    <row r="586" spans="11:16">
      <c r="K586" s="142"/>
      <c r="P586" s="142"/>
    </row>
    <row r="587" spans="11:16">
      <c r="K587" s="142"/>
      <c r="P587" s="142"/>
    </row>
    <row r="588" spans="11:16">
      <c r="K588" s="142"/>
      <c r="P588" s="142"/>
    </row>
    <row r="589" spans="11:16">
      <c r="K589" s="142"/>
      <c r="P589" s="142"/>
    </row>
    <row r="590" spans="11:16">
      <c r="K590" s="142"/>
      <c r="P590" s="142"/>
    </row>
    <row r="591" spans="11:16">
      <c r="K591" s="142"/>
      <c r="P591" s="142"/>
    </row>
    <row r="592" spans="11:16">
      <c r="K592" s="142"/>
      <c r="P592" s="142"/>
    </row>
    <row r="593" spans="11:16">
      <c r="K593" s="142"/>
      <c r="P593" s="142"/>
    </row>
    <row r="594" spans="11:16">
      <c r="K594" s="142"/>
      <c r="P594" s="142"/>
    </row>
    <row r="595" spans="11:16">
      <c r="K595" s="142"/>
      <c r="P595" s="142"/>
    </row>
    <row r="596" spans="11:16">
      <c r="K596" s="142"/>
      <c r="P596" s="142"/>
    </row>
    <row r="597" spans="11:16">
      <c r="K597" s="142"/>
      <c r="P597" s="142"/>
    </row>
    <row r="598" spans="11:16">
      <c r="K598" s="142"/>
      <c r="P598" s="142"/>
    </row>
    <row r="599" spans="11:16">
      <c r="K599" s="142"/>
      <c r="P599" s="142"/>
    </row>
    <row r="600" spans="11:16">
      <c r="K600" s="142"/>
      <c r="P600" s="142"/>
    </row>
    <row r="601" spans="11:16">
      <c r="K601" s="142"/>
      <c r="P601" s="142"/>
    </row>
    <row r="602" spans="11:16">
      <c r="K602" s="142"/>
      <c r="P602" s="142"/>
    </row>
    <row r="603" spans="11:16">
      <c r="K603" s="142"/>
      <c r="P603" s="142"/>
    </row>
    <row r="604" spans="11:16">
      <c r="K604" s="142"/>
      <c r="P604" s="142"/>
    </row>
    <row r="605" spans="11:16">
      <c r="K605" s="142"/>
      <c r="P605" s="142"/>
    </row>
    <row r="606" spans="11:16">
      <c r="K606" s="142"/>
      <c r="P606" s="142"/>
    </row>
    <row r="607" spans="11:16">
      <c r="K607" s="142"/>
      <c r="P607" s="142"/>
    </row>
    <row r="608" spans="11:16">
      <c r="K608" s="142"/>
      <c r="P608" s="142"/>
    </row>
    <row r="609" spans="11:16">
      <c r="K609" s="142"/>
      <c r="P609" s="142"/>
    </row>
    <row r="610" spans="11:16">
      <c r="K610" s="142"/>
      <c r="P610" s="142"/>
    </row>
    <row r="611" spans="11:16">
      <c r="K611" s="142"/>
      <c r="P611" s="142"/>
    </row>
    <row r="612" spans="11:16">
      <c r="K612" s="142"/>
      <c r="P612" s="142"/>
    </row>
    <row r="613" spans="11:16">
      <c r="K613" s="142"/>
      <c r="P613" s="142"/>
    </row>
    <row r="614" spans="11:16">
      <c r="K614" s="142"/>
      <c r="P614" s="142"/>
    </row>
    <row r="615" spans="11:16">
      <c r="K615" s="142"/>
      <c r="P615" s="142"/>
    </row>
    <row r="616" spans="11:16">
      <c r="K616" s="142"/>
      <c r="P616" s="142"/>
    </row>
    <row r="617" spans="11:16">
      <c r="K617" s="142"/>
      <c r="P617" s="142"/>
    </row>
    <row r="618" spans="11:16">
      <c r="K618" s="142"/>
      <c r="P618" s="142"/>
    </row>
    <row r="619" spans="11:16">
      <c r="K619" s="142"/>
      <c r="P619" s="142"/>
    </row>
    <row r="620" spans="11:16">
      <c r="K620" s="142"/>
      <c r="P620" s="142"/>
    </row>
    <row r="621" spans="11:16">
      <c r="K621" s="142"/>
      <c r="P621" s="142"/>
    </row>
    <row r="622" spans="11:16">
      <c r="K622" s="142"/>
      <c r="P622" s="142"/>
    </row>
    <row r="623" spans="11:16">
      <c r="K623" s="142"/>
      <c r="P623" s="142"/>
    </row>
    <row r="624" spans="11:16">
      <c r="K624" s="142"/>
      <c r="P624" s="142"/>
    </row>
    <row r="625" spans="11:16">
      <c r="K625" s="142"/>
      <c r="P625" s="142"/>
    </row>
    <row r="626" spans="11:16">
      <c r="K626" s="142"/>
      <c r="P626" s="142"/>
    </row>
    <row r="627" spans="11:16">
      <c r="K627" s="142"/>
      <c r="P627" s="142"/>
    </row>
    <row r="628" spans="11:16">
      <c r="K628" s="142"/>
      <c r="P628" s="142"/>
    </row>
    <row r="629" spans="11:16">
      <c r="K629" s="142"/>
      <c r="P629" s="142"/>
    </row>
    <row r="630" spans="11:16">
      <c r="K630" s="142"/>
      <c r="P630" s="142"/>
    </row>
    <row r="631" spans="11:16">
      <c r="K631" s="142"/>
      <c r="P631" s="142"/>
    </row>
    <row r="632" spans="11:16">
      <c r="K632" s="142"/>
      <c r="P632" s="142"/>
    </row>
    <row r="633" spans="11:16">
      <c r="K633" s="142"/>
      <c r="P633" s="142"/>
    </row>
    <row r="634" spans="11:16">
      <c r="K634" s="142"/>
      <c r="P634" s="142"/>
    </row>
    <row r="635" spans="11:16">
      <c r="K635" s="142"/>
      <c r="P635" s="142"/>
    </row>
    <row r="636" spans="11:16">
      <c r="K636" s="142"/>
      <c r="P636" s="142"/>
    </row>
    <row r="637" spans="11:16">
      <c r="K637" s="142"/>
      <c r="P637" s="142"/>
    </row>
    <row r="638" spans="11:16">
      <c r="K638" s="142"/>
      <c r="P638" s="142"/>
    </row>
    <row r="639" spans="11:16">
      <c r="K639" s="142"/>
      <c r="P639" s="142"/>
    </row>
    <row r="640" spans="11:16">
      <c r="K640" s="142"/>
      <c r="P640" s="142"/>
    </row>
    <row r="641" spans="11:16">
      <c r="K641" s="142"/>
      <c r="P641" s="142"/>
    </row>
    <row r="642" spans="11:16">
      <c r="K642" s="142"/>
      <c r="P642" s="142"/>
    </row>
    <row r="643" spans="11:16">
      <c r="K643" s="142"/>
      <c r="P643" s="142"/>
    </row>
    <row r="644" spans="11:16">
      <c r="K644" s="142"/>
      <c r="P644" s="142"/>
    </row>
    <row r="645" spans="11:16">
      <c r="K645" s="142"/>
      <c r="P645" s="142"/>
    </row>
    <row r="646" spans="11:16">
      <c r="K646" s="142"/>
      <c r="P646" s="142"/>
    </row>
    <row r="647" spans="11:16">
      <c r="K647" s="142"/>
      <c r="P647" s="142"/>
    </row>
    <row r="648" spans="11:16">
      <c r="K648" s="142"/>
      <c r="P648" s="142"/>
    </row>
    <row r="649" spans="11:16">
      <c r="K649" s="142"/>
      <c r="P649" s="142"/>
    </row>
    <row r="650" spans="11:16">
      <c r="K650" s="142"/>
      <c r="P650" s="142"/>
    </row>
    <row r="651" spans="11:16">
      <c r="K651" s="142"/>
      <c r="P651" s="142"/>
    </row>
    <row r="652" spans="11:16">
      <c r="K652" s="142"/>
      <c r="P652" s="142"/>
    </row>
    <row r="653" spans="11:16">
      <c r="K653" s="142"/>
      <c r="P653" s="142"/>
    </row>
    <row r="654" spans="11:16">
      <c r="K654" s="142"/>
      <c r="P654" s="142"/>
    </row>
    <row r="655" spans="11:16">
      <c r="K655" s="142"/>
      <c r="P655" s="142"/>
    </row>
    <row r="656" spans="11:16">
      <c r="K656" s="142"/>
      <c r="P656" s="142"/>
    </row>
    <row r="657" spans="11:16">
      <c r="K657" s="142"/>
      <c r="P657" s="142"/>
    </row>
    <row r="658" spans="11:16">
      <c r="K658" s="142"/>
      <c r="P658" s="142"/>
    </row>
    <row r="659" spans="11:16">
      <c r="K659" s="142"/>
      <c r="P659" s="142"/>
    </row>
    <row r="660" spans="11:16">
      <c r="K660" s="142"/>
      <c r="P660" s="142"/>
    </row>
    <row r="661" spans="11:16">
      <c r="K661" s="142"/>
      <c r="P661" s="142"/>
    </row>
    <row r="662" spans="11:16">
      <c r="K662" s="142"/>
      <c r="P662" s="142"/>
    </row>
    <row r="663" spans="11:16">
      <c r="K663" s="142"/>
      <c r="P663" s="142"/>
    </row>
    <row r="664" spans="11:16">
      <c r="K664" s="142"/>
      <c r="P664" s="142"/>
    </row>
    <row r="665" spans="11:16">
      <c r="K665" s="142"/>
      <c r="P665" s="142"/>
    </row>
    <row r="666" spans="11:16">
      <c r="K666" s="142"/>
      <c r="P666" s="142"/>
    </row>
    <row r="667" spans="11:16">
      <c r="K667" s="142"/>
      <c r="P667" s="142"/>
    </row>
    <row r="668" spans="11:16">
      <c r="K668" s="142"/>
      <c r="P668" s="142"/>
    </row>
    <row r="669" spans="11:16">
      <c r="K669" s="142"/>
      <c r="P669" s="142"/>
    </row>
    <row r="670" spans="11:16">
      <c r="K670" s="142"/>
      <c r="P670" s="142"/>
    </row>
    <row r="671" spans="11:16">
      <c r="K671" s="142"/>
      <c r="P671" s="142"/>
    </row>
    <row r="672" spans="11:16">
      <c r="K672" s="142"/>
      <c r="P672" s="142"/>
    </row>
    <row r="673" spans="11:16">
      <c r="K673" s="142"/>
      <c r="P673" s="142"/>
    </row>
    <row r="674" spans="11:16">
      <c r="K674" s="142"/>
      <c r="P674" s="142"/>
    </row>
    <row r="675" spans="11:16">
      <c r="K675" s="142"/>
      <c r="P675" s="142"/>
    </row>
    <row r="676" spans="11:16">
      <c r="K676" s="142"/>
      <c r="P676" s="142"/>
    </row>
    <row r="677" spans="11:16">
      <c r="K677" s="142"/>
      <c r="P677" s="142"/>
    </row>
    <row r="678" spans="11:16">
      <c r="K678" s="142"/>
      <c r="P678" s="142"/>
    </row>
    <row r="679" spans="11:16">
      <c r="K679" s="142"/>
      <c r="P679" s="142"/>
    </row>
    <row r="680" spans="11:16">
      <c r="K680" s="142"/>
      <c r="P680" s="142"/>
    </row>
    <row r="681" spans="11:16">
      <c r="K681" s="142"/>
      <c r="P681" s="142"/>
    </row>
    <row r="682" spans="11:16">
      <c r="K682" s="142"/>
      <c r="P682" s="142"/>
    </row>
    <row r="683" spans="11:16">
      <c r="K683" s="142"/>
      <c r="P683" s="142"/>
    </row>
    <row r="684" spans="11:16">
      <c r="K684" s="142"/>
      <c r="P684" s="142"/>
    </row>
    <row r="685" spans="11:16">
      <c r="K685" s="142"/>
      <c r="P685" s="142"/>
    </row>
    <row r="686" spans="11:16">
      <c r="K686" s="142"/>
      <c r="P686" s="142"/>
    </row>
    <row r="687" spans="11:16">
      <c r="K687" s="142"/>
      <c r="P687" s="142"/>
    </row>
    <row r="688" spans="11:16">
      <c r="K688" s="142"/>
      <c r="P688" s="142"/>
    </row>
    <row r="689" spans="11:16">
      <c r="K689" s="142"/>
      <c r="P689" s="142"/>
    </row>
    <row r="690" spans="11:16">
      <c r="K690" s="142"/>
      <c r="P690" s="142"/>
    </row>
    <row r="691" spans="11:16">
      <c r="K691" s="142"/>
      <c r="P691" s="142"/>
    </row>
    <row r="692" spans="11:16">
      <c r="K692" s="142"/>
      <c r="P692" s="142"/>
    </row>
    <row r="693" spans="11:16">
      <c r="K693" s="142"/>
      <c r="P693" s="142"/>
    </row>
    <row r="694" spans="11:16">
      <c r="K694" s="142"/>
      <c r="P694" s="142"/>
    </row>
    <row r="695" spans="11:16">
      <c r="K695" s="142"/>
      <c r="P695" s="142"/>
    </row>
    <row r="696" spans="11:16">
      <c r="K696" s="142"/>
      <c r="P696" s="142"/>
    </row>
    <row r="697" spans="11:16">
      <c r="K697" s="142"/>
      <c r="P697" s="142"/>
    </row>
    <row r="698" spans="11:16">
      <c r="K698" s="142"/>
      <c r="P698" s="142"/>
    </row>
    <row r="699" spans="11:16">
      <c r="K699" s="142"/>
      <c r="P699" s="142"/>
    </row>
    <row r="700" spans="11:16">
      <c r="K700" s="142"/>
      <c r="P700" s="142"/>
    </row>
    <row r="701" spans="11:16">
      <c r="K701" s="142"/>
      <c r="P701" s="142"/>
    </row>
    <row r="702" spans="11:16">
      <c r="K702" s="142"/>
      <c r="P702" s="142"/>
    </row>
    <row r="703" spans="11:16">
      <c r="K703" s="142"/>
      <c r="P703" s="142"/>
    </row>
    <row r="704" spans="11:16">
      <c r="K704" s="142"/>
      <c r="P704" s="142"/>
    </row>
    <row r="705" spans="11:16">
      <c r="K705" s="142"/>
      <c r="P705" s="142"/>
    </row>
    <row r="706" spans="11:16">
      <c r="K706" s="142"/>
      <c r="P706" s="142"/>
    </row>
    <row r="707" spans="11:16">
      <c r="K707" s="142"/>
      <c r="P707" s="142"/>
    </row>
    <row r="708" spans="11:16">
      <c r="K708" s="142"/>
      <c r="P708" s="142"/>
    </row>
    <row r="709" spans="11:16">
      <c r="K709" s="142"/>
      <c r="P709" s="142"/>
    </row>
    <row r="710" spans="11:16">
      <c r="K710" s="142"/>
      <c r="P710" s="142"/>
    </row>
    <row r="711" spans="11:16">
      <c r="K711" s="142"/>
      <c r="P711" s="142"/>
    </row>
    <row r="712" spans="11:16">
      <c r="K712" s="142"/>
      <c r="P712" s="142"/>
    </row>
    <row r="713" spans="11:16">
      <c r="K713" s="142"/>
      <c r="P713" s="142"/>
    </row>
    <row r="714" spans="11:16">
      <c r="K714" s="142"/>
      <c r="P714" s="142"/>
    </row>
    <row r="715" spans="11:16">
      <c r="K715" s="142"/>
      <c r="P715" s="142"/>
    </row>
    <row r="716" spans="11:16">
      <c r="K716" s="142"/>
      <c r="P716" s="142"/>
    </row>
    <row r="717" spans="11:16">
      <c r="K717" s="142"/>
      <c r="P717" s="142"/>
    </row>
    <row r="718" spans="11:16">
      <c r="K718" s="142"/>
      <c r="P718" s="142"/>
    </row>
    <row r="719" spans="11:16">
      <c r="K719" s="142"/>
      <c r="P719" s="142"/>
    </row>
    <row r="720" spans="11:16">
      <c r="K720" s="142"/>
      <c r="P720" s="142"/>
    </row>
    <row r="721" spans="11:16">
      <c r="K721" s="142"/>
      <c r="P721" s="142"/>
    </row>
    <row r="722" spans="11:16">
      <c r="K722" s="142"/>
      <c r="P722" s="142"/>
    </row>
    <row r="723" spans="11:16">
      <c r="K723" s="142"/>
      <c r="P723" s="142"/>
    </row>
    <row r="724" spans="11:16">
      <c r="K724" s="142"/>
      <c r="P724" s="142"/>
    </row>
    <row r="725" spans="11:16">
      <c r="K725" s="142"/>
      <c r="P725" s="142"/>
    </row>
    <row r="726" spans="11:16">
      <c r="K726" s="142"/>
      <c r="P726" s="142"/>
    </row>
    <row r="727" spans="11:16">
      <c r="K727" s="142"/>
      <c r="P727" s="142"/>
    </row>
    <row r="728" spans="11:16">
      <c r="K728" s="142"/>
      <c r="P728" s="142"/>
    </row>
    <row r="729" spans="11:16">
      <c r="K729" s="142"/>
      <c r="P729" s="142"/>
    </row>
    <row r="730" spans="11:16">
      <c r="K730" s="142"/>
      <c r="P730" s="142"/>
    </row>
    <row r="731" spans="11:16">
      <c r="K731" s="142"/>
      <c r="P731" s="142"/>
    </row>
    <row r="732" spans="11:16">
      <c r="K732" s="142"/>
      <c r="P732" s="142"/>
    </row>
    <row r="733" spans="11:16">
      <c r="K733" s="142"/>
      <c r="P733" s="142"/>
    </row>
    <row r="734" spans="11:16">
      <c r="K734" s="142"/>
      <c r="P734" s="142"/>
    </row>
    <row r="735" spans="11:16">
      <c r="K735" s="142"/>
      <c r="P735" s="142"/>
    </row>
    <row r="736" spans="11:16">
      <c r="K736" s="142"/>
      <c r="P736" s="142"/>
    </row>
    <row r="737" spans="11:16">
      <c r="K737" s="142"/>
      <c r="P737" s="142"/>
    </row>
    <row r="738" spans="11:16">
      <c r="K738" s="142"/>
      <c r="P738" s="142"/>
    </row>
    <row r="739" spans="11:16">
      <c r="K739" s="142"/>
      <c r="P739" s="142"/>
    </row>
    <row r="740" spans="11:16">
      <c r="K740" s="142"/>
      <c r="P740" s="142"/>
    </row>
    <row r="741" spans="11:16">
      <c r="K741" s="142"/>
      <c r="P741" s="142"/>
    </row>
    <row r="742" spans="11:16">
      <c r="K742" s="142"/>
      <c r="P742" s="142"/>
    </row>
    <row r="743" spans="11:16">
      <c r="K743" s="142"/>
      <c r="P743" s="142"/>
    </row>
    <row r="744" spans="11:16">
      <c r="K744" s="142"/>
      <c r="P744" s="142"/>
    </row>
    <row r="745" spans="11:16">
      <c r="K745" s="142"/>
      <c r="P745" s="142"/>
    </row>
    <row r="746" spans="11:16">
      <c r="K746" s="142"/>
      <c r="P746" s="142"/>
    </row>
    <row r="747" spans="11:16">
      <c r="K747" s="142"/>
      <c r="P747" s="142"/>
    </row>
    <row r="748" spans="11:16">
      <c r="K748" s="142"/>
      <c r="P748" s="142"/>
    </row>
    <row r="749" spans="11:16">
      <c r="K749" s="142"/>
      <c r="P749" s="142"/>
    </row>
    <row r="750" spans="11:16">
      <c r="K750" s="142"/>
      <c r="P750" s="142"/>
    </row>
    <row r="751" spans="11:16">
      <c r="K751" s="142"/>
      <c r="P751" s="142"/>
    </row>
    <row r="752" spans="11:16">
      <c r="K752" s="142"/>
      <c r="P752" s="142"/>
    </row>
    <row r="753" spans="11:16">
      <c r="K753" s="142"/>
      <c r="P753" s="142"/>
    </row>
    <row r="754" spans="11:16">
      <c r="K754" s="142"/>
      <c r="P754" s="142"/>
    </row>
    <row r="755" spans="11:16">
      <c r="K755" s="142"/>
      <c r="P755" s="142"/>
    </row>
    <row r="756" spans="11:16">
      <c r="K756" s="142"/>
      <c r="P756" s="142"/>
    </row>
    <row r="757" spans="11:16">
      <c r="K757" s="142"/>
      <c r="P757" s="142"/>
    </row>
    <row r="758" spans="11:16">
      <c r="K758" s="142"/>
      <c r="P758" s="142"/>
    </row>
    <row r="759" spans="11:16">
      <c r="K759" s="142"/>
      <c r="P759" s="142"/>
    </row>
    <row r="760" spans="11:16">
      <c r="K760" s="142"/>
      <c r="P760" s="142"/>
    </row>
    <row r="761" spans="11:16">
      <c r="K761" s="142"/>
      <c r="P761" s="142"/>
    </row>
    <row r="762" spans="11:16">
      <c r="K762" s="142"/>
      <c r="P762" s="142"/>
    </row>
    <row r="763" spans="11:16">
      <c r="K763" s="142"/>
      <c r="P763" s="142"/>
    </row>
    <row r="764" spans="11:16">
      <c r="K764" s="142"/>
      <c r="P764" s="142"/>
    </row>
    <row r="765" spans="11:16">
      <c r="K765" s="142"/>
      <c r="P765" s="142"/>
    </row>
    <row r="766" spans="11:16">
      <c r="K766" s="142"/>
      <c r="P766" s="142"/>
    </row>
    <row r="767" spans="11:16">
      <c r="K767" s="142"/>
      <c r="P767" s="142"/>
    </row>
    <row r="768" spans="11:16">
      <c r="K768" s="142"/>
      <c r="P768" s="142"/>
    </row>
    <row r="769" spans="11:16">
      <c r="K769" s="142"/>
      <c r="P769" s="142"/>
    </row>
    <row r="770" spans="11:16">
      <c r="K770" s="142"/>
      <c r="P770" s="142"/>
    </row>
    <row r="771" spans="11:16">
      <c r="K771" s="142"/>
      <c r="P771" s="142"/>
    </row>
    <row r="772" spans="11:16">
      <c r="K772" s="142"/>
      <c r="P772" s="142"/>
    </row>
    <row r="773" spans="11:16">
      <c r="K773" s="142"/>
      <c r="P773" s="142"/>
    </row>
    <row r="774" spans="11:16">
      <c r="K774" s="142"/>
      <c r="P774" s="142"/>
    </row>
    <row r="775" spans="11:16">
      <c r="K775" s="142"/>
      <c r="P775" s="142"/>
    </row>
    <row r="776" spans="11:16">
      <c r="K776" s="142"/>
      <c r="P776" s="142"/>
    </row>
    <row r="777" spans="11:16">
      <c r="K777" s="142"/>
      <c r="P777" s="142"/>
    </row>
    <row r="778" spans="11:16">
      <c r="K778" s="142"/>
      <c r="P778" s="142"/>
    </row>
    <row r="779" spans="11:16">
      <c r="K779" s="142"/>
      <c r="P779" s="142"/>
    </row>
    <row r="780" spans="11:16">
      <c r="K780" s="142"/>
      <c r="P780" s="142"/>
    </row>
    <row r="781" spans="11:16">
      <c r="K781" s="142"/>
      <c r="P781" s="142"/>
    </row>
    <row r="782" spans="11:16">
      <c r="K782" s="142"/>
      <c r="P782" s="142"/>
    </row>
    <row r="783" spans="11:16">
      <c r="K783" s="142"/>
      <c r="P783" s="142"/>
    </row>
    <row r="784" spans="11:16">
      <c r="K784" s="142"/>
      <c r="P784" s="142"/>
    </row>
    <row r="785" spans="11:16">
      <c r="K785" s="142"/>
      <c r="P785" s="142"/>
    </row>
    <row r="786" spans="11:16">
      <c r="K786" s="142"/>
      <c r="P786" s="142"/>
    </row>
    <row r="787" spans="11:16">
      <c r="K787" s="142"/>
      <c r="P787" s="142"/>
    </row>
    <row r="788" spans="11:16">
      <c r="K788" s="142"/>
      <c r="P788" s="142"/>
    </row>
    <row r="789" spans="11:16">
      <c r="K789" s="142"/>
      <c r="P789" s="142"/>
    </row>
    <row r="790" spans="11:16">
      <c r="K790" s="142"/>
      <c r="P790" s="142"/>
    </row>
    <row r="791" spans="11:16">
      <c r="K791" s="142"/>
      <c r="P791" s="142"/>
    </row>
    <row r="792" spans="11:16">
      <c r="K792" s="142"/>
      <c r="P792" s="142"/>
    </row>
    <row r="793" spans="11:16">
      <c r="K793" s="142"/>
      <c r="P793" s="142"/>
    </row>
    <row r="794" spans="11:16">
      <c r="K794" s="142"/>
      <c r="P794" s="142"/>
    </row>
    <row r="795" spans="11:16">
      <c r="K795" s="142"/>
      <c r="P795" s="142"/>
    </row>
    <row r="796" spans="11:16">
      <c r="K796" s="142"/>
      <c r="P796" s="142"/>
    </row>
    <row r="797" spans="11:16">
      <c r="K797" s="142"/>
      <c r="P797" s="142"/>
    </row>
    <row r="798" spans="11:16">
      <c r="K798" s="142"/>
      <c r="P798" s="142"/>
    </row>
    <row r="799" spans="11:16">
      <c r="K799" s="142"/>
      <c r="P799" s="142"/>
    </row>
    <row r="800" spans="11:16">
      <c r="K800" s="142"/>
      <c r="P800" s="142"/>
    </row>
    <row r="801" spans="11:16">
      <c r="K801" s="142"/>
      <c r="P801" s="142"/>
    </row>
    <row r="802" spans="11:16">
      <c r="K802" s="142"/>
      <c r="P802" s="142"/>
    </row>
    <row r="803" spans="11:16">
      <c r="K803" s="142"/>
      <c r="P803" s="142"/>
    </row>
    <row r="804" spans="11:16">
      <c r="K804" s="142"/>
      <c r="P804" s="142"/>
    </row>
    <row r="805" spans="11:16">
      <c r="K805" s="142"/>
      <c r="P805" s="142"/>
    </row>
    <row r="806" spans="11:16">
      <c r="K806" s="142"/>
      <c r="P806" s="142"/>
    </row>
    <row r="807" spans="11:16">
      <c r="K807" s="142"/>
      <c r="P807" s="142"/>
    </row>
    <row r="808" spans="11:16">
      <c r="K808" s="142"/>
      <c r="P808" s="142"/>
    </row>
    <row r="809" spans="11:16">
      <c r="K809" s="142"/>
      <c r="P809" s="142"/>
    </row>
    <row r="810" spans="11:16">
      <c r="K810" s="142"/>
      <c r="P810" s="142"/>
    </row>
    <row r="811" spans="11:16">
      <c r="K811" s="142"/>
      <c r="P811" s="142"/>
    </row>
    <row r="812" spans="11:16">
      <c r="K812" s="142"/>
      <c r="P812" s="142"/>
    </row>
    <row r="813" spans="11:16">
      <c r="K813" s="142"/>
      <c r="P813" s="142"/>
    </row>
    <row r="814" spans="11:16">
      <c r="K814" s="142"/>
      <c r="P814" s="142"/>
    </row>
    <row r="815" spans="11:16">
      <c r="K815" s="142"/>
      <c r="P815" s="142"/>
    </row>
    <row r="816" spans="11:16">
      <c r="K816" s="142"/>
      <c r="P816" s="142"/>
    </row>
    <row r="817" spans="11:16">
      <c r="K817" s="142"/>
      <c r="P817" s="142"/>
    </row>
    <row r="818" spans="11:16">
      <c r="K818" s="142"/>
      <c r="P818" s="142"/>
    </row>
    <row r="819" spans="11:16">
      <c r="K819" s="142"/>
      <c r="P819" s="142"/>
    </row>
    <row r="820" spans="11:16">
      <c r="K820" s="142"/>
      <c r="P820" s="142"/>
    </row>
    <row r="821" spans="11:16">
      <c r="K821" s="142"/>
      <c r="P821" s="142"/>
    </row>
    <row r="822" spans="11:16">
      <c r="K822" s="142"/>
      <c r="P822" s="142"/>
    </row>
    <row r="823" spans="11:16">
      <c r="K823" s="142"/>
      <c r="P823" s="142"/>
    </row>
    <row r="824" spans="11:16">
      <c r="K824" s="142"/>
      <c r="P824" s="142"/>
    </row>
    <row r="825" spans="11:16">
      <c r="K825" s="142"/>
      <c r="P825" s="142"/>
    </row>
    <row r="826" spans="11:16">
      <c r="K826" s="142"/>
      <c r="P826" s="142"/>
    </row>
    <row r="827" spans="11:16">
      <c r="K827" s="142"/>
      <c r="P827" s="142"/>
    </row>
    <row r="828" spans="11:16">
      <c r="K828" s="142"/>
      <c r="P828" s="142"/>
    </row>
    <row r="829" spans="11:16">
      <c r="K829" s="142"/>
      <c r="P829" s="142"/>
    </row>
    <row r="830" spans="11:16">
      <c r="K830" s="142"/>
      <c r="P830" s="142"/>
    </row>
    <row r="831" spans="11:16">
      <c r="K831" s="142"/>
      <c r="P831" s="142"/>
    </row>
    <row r="832" spans="11:16">
      <c r="K832" s="142"/>
      <c r="P832" s="142"/>
    </row>
    <row r="833" spans="11:16">
      <c r="K833" s="142"/>
      <c r="P833" s="142"/>
    </row>
    <row r="834" spans="11:16">
      <c r="K834" s="142"/>
      <c r="P834" s="142"/>
    </row>
    <row r="835" spans="11:16">
      <c r="K835" s="142"/>
      <c r="P835" s="142"/>
    </row>
    <row r="836" spans="11:16">
      <c r="K836" s="142"/>
      <c r="P836" s="142"/>
    </row>
    <row r="837" spans="11:16">
      <c r="K837" s="142"/>
      <c r="P837" s="142"/>
    </row>
    <row r="838" spans="11:16">
      <c r="K838" s="142"/>
      <c r="P838" s="142"/>
    </row>
    <row r="839" spans="11:16">
      <c r="K839" s="142"/>
      <c r="P839" s="142"/>
    </row>
    <row r="840" spans="11:16">
      <c r="K840" s="142"/>
      <c r="P840" s="142"/>
    </row>
    <row r="841" spans="11:16">
      <c r="K841" s="142"/>
      <c r="P841" s="142"/>
    </row>
    <row r="842" spans="11:16">
      <c r="K842" s="142"/>
      <c r="P842" s="142"/>
    </row>
    <row r="843" spans="11:16">
      <c r="K843" s="142"/>
      <c r="P843" s="142"/>
    </row>
    <row r="844" spans="11:16">
      <c r="K844" s="142"/>
      <c r="P844" s="142"/>
    </row>
    <row r="845" spans="11:16">
      <c r="K845" s="142"/>
      <c r="P845" s="142"/>
    </row>
    <row r="846" spans="11:16">
      <c r="K846" s="142"/>
      <c r="P846" s="142"/>
    </row>
    <row r="847" spans="11:16">
      <c r="K847" s="142"/>
      <c r="P847" s="142"/>
    </row>
    <row r="848" spans="11:16">
      <c r="K848" s="142"/>
      <c r="P848" s="142"/>
    </row>
    <row r="849" spans="11:16">
      <c r="K849" s="142"/>
      <c r="P849" s="142"/>
    </row>
    <row r="850" spans="11:16">
      <c r="K850" s="142"/>
      <c r="P850" s="142"/>
    </row>
    <row r="851" spans="11:16">
      <c r="K851" s="142"/>
      <c r="P851" s="142"/>
    </row>
    <row r="852" spans="11:16">
      <c r="K852" s="142"/>
      <c r="P852" s="142"/>
    </row>
    <row r="853" spans="11:16">
      <c r="K853" s="142"/>
      <c r="P853" s="142"/>
    </row>
    <row r="854" spans="11:16">
      <c r="K854" s="142"/>
      <c r="P854" s="142"/>
    </row>
    <row r="855" spans="11:16">
      <c r="K855" s="142"/>
      <c r="P855" s="142"/>
    </row>
    <row r="856" spans="11:16">
      <c r="K856" s="142"/>
      <c r="P856" s="142"/>
    </row>
    <row r="857" spans="11:16">
      <c r="K857" s="142"/>
      <c r="P857" s="142"/>
    </row>
    <row r="858" spans="11:16">
      <c r="K858" s="142"/>
      <c r="P858" s="142"/>
    </row>
    <row r="859" spans="11:16">
      <c r="K859" s="142"/>
      <c r="P859" s="142"/>
    </row>
    <row r="860" spans="11:16">
      <c r="K860" s="142"/>
      <c r="P860" s="142"/>
    </row>
    <row r="861" spans="11:16">
      <c r="K861" s="142"/>
      <c r="P861" s="142"/>
    </row>
    <row r="862" spans="11:16">
      <c r="K862" s="142"/>
      <c r="P862" s="142"/>
    </row>
    <row r="863" spans="11:16">
      <c r="K863" s="142"/>
      <c r="P863" s="142"/>
    </row>
    <row r="864" spans="11:16">
      <c r="K864" s="142"/>
      <c r="P864" s="142"/>
    </row>
    <row r="865" spans="5:16">
      <c r="E865" s="139"/>
      <c r="G865" s="139"/>
      <c r="H865" s="139"/>
      <c r="J865" s="141"/>
      <c r="K865" s="142"/>
      <c r="M865" s="141"/>
      <c r="O865" s="141"/>
      <c r="P865" s="142"/>
    </row>
    <row r="866" spans="5:16">
      <c r="K866" s="142"/>
      <c r="P866" s="142"/>
    </row>
    <row r="867" spans="5:16">
      <c r="K867" s="142"/>
      <c r="P867" s="142"/>
    </row>
    <row r="868" spans="5:16">
      <c r="K868" s="142"/>
      <c r="P868" s="142"/>
    </row>
    <row r="869" spans="5:16">
      <c r="K869" s="142"/>
      <c r="P869" s="142"/>
    </row>
    <row r="870" spans="5:16">
      <c r="K870" s="142"/>
      <c r="P870" s="142"/>
    </row>
    <row r="871" spans="5:16">
      <c r="K871" s="142"/>
      <c r="P871" s="142"/>
    </row>
    <row r="872" spans="5:16">
      <c r="K872" s="142"/>
      <c r="P872" s="142"/>
    </row>
    <row r="873" spans="5:16">
      <c r="K873" s="142"/>
      <c r="P873" s="142"/>
    </row>
    <row r="874" spans="5:16">
      <c r="K874" s="142"/>
      <c r="P874" s="142"/>
    </row>
    <row r="875" spans="5:16">
      <c r="K875" s="142"/>
      <c r="P875" s="142"/>
    </row>
    <row r="876" spans="5:16">
      <c r="K876" s="142"/>
      <c r="P876" s="142"/>
    </row>
    <row r="877" spans="5:16">
      <c r="K877" s="142"/>
      <c r="P877" s="142"/>
    </row>
    <row r="878" spans="5:16">
      <c r="K878" s="142"/>
      <c r="P878" s="142"/>
    </row>
    <row r="879" spans="5:16">
      <c r="K879" s="142"/>
      <c r="P879" s="142"/>
    </row>
    <row r="880" spans="5:16">
      <c r="K880" s="142"/>
      <c r="P880" s="142"/>
    </row>
    <row r="881" spans="11:16">
      <c r="K881" s="142"/>
      <c r="P881" s="142"/>
    </row>
    <row r="882" spans="11:16">
      <c r="K882" s="142"/>
      <c r="P882" s="142"/>
    </row>
    <row r="883" spans="11:16">
      <c r="K883" s="142"/>
      <c r="P883" s="142"/>
    </row>
    <row r="884" spans="11:16">
      <c r="K884" s="142"/>
      <c r="P884" s="142"/>
    </row>
    <row r="885" spans="11:16">
      <c r="K885" s="142"/>
      <c r="P885" s="142"/>
    </row>
    <row r="886" spans="11:16">
      <c r="K886" s="142"/>
      <c r="P886" s="142"/>
    </row>
    <row r="887" spans="11:16">
      <c r="K887" s="142"/>
      <c r="P887" s="142"/>
    </row>
    <row r="888" spans="11:16">
      <c r="K888" s="142"/>
      <c r="P888" s="142"/>
    </row>
    <row r="889" spans="11:16">
      <c r="K889" s="142"/>
      <c r="P889" s="142"/>
    </row>
    <row r="890" spans="11:16">
      <c r="K890" s="142"/>
      <c r="P890" s="142"/>
    </row>
    <row r="891" spans="11:16">
      <c r="K891" s="142"/>
      <c r="P891" s="142"/>
    </row>
    <row r="892" spans="11:16">
      <c r="K892" s="142"/>
      <c r="P892" s="142"/>
    </row>
    <row r="893" spans="11:16">
      <c r="K893" s="142"/>
      <c r="P893" s="142"/>
    </row>
    <row r="894" spans="11:16">
      <c r="K894" s="142"/>
      <c r="P894" s="142"/>
    </row>
    <row r="895" spans="11:16">
      <c r="K895" s="142"/>
      <c r="P895" s="142"/>
    </row>
    <row r="896" spans="11:16">
      <c r="K896" s="142"/>
      <c r="P896" s="142"/>
    </row>
    <row r="897" spans="11:16">
      <c r="K897" s="142"/>
      <c r="P897" s="142"/>
    </row>
    <row r="898" spans="11:16">
      <c r="K898" s="142"/>
      <c r="P898" s="142"/>
    </row>
    <row r="899" spans="11:16">
      <c r="K899" s="142"/>
      <c r="P899" s="142"/>
    </row>
    <row r="900" spans="11:16">
      <c r="K900" s="142"/>
      <c r="P900" s="142"/>
    </row>
    <row r="901" spans="11:16">
      <c r="K901" s="142"/>
      <c r="P901" s="142"/>
    </row>
    <row r="902" spans="11:16">
      <c r="K902" s="142"/>
      <c r="P902" s="142"/>
    </row>
    <row r="903" spans="11:16">
      <c r="K903" s="142"/>
      <c r="P903" s="142"/>
    </row>
    <row r="904" spans="11:16">
      <c r="K904" s="142"/>
      <c r="P904" s="142"/>
    </row>
    <row r="905" spans="11:16">
      <c r="K905" s="142"/>
      <c r="P905" s="142"/>
    </row>
    <row r="906" spans="11:16">
      <c r="K906" s="142"/>
      <c r="P906" s="142"/>
    </row>
    <row r="907" spans="11:16">
      <c r="K907" s="142"/>
      <c r="P907" s="142"/>
    </row>
    <row r="908" spans="11:16">
      <c r="K908" s="142"/>
      <c r="P908" s="142"/>
    </row>
    <row r="909" spans="11:16">
      <c r="K909" s="142"/>
      <c r="P909" s="142"/>
    </row>
    <row r="910" spans="11:16">
      <c r="K910" s="142"/>
      <c r="P910" s="142"/>
    </row>
    <row r="911" spans="11:16">
      <c r="K911" s="142"/>
      <c r="P911" s="142"/>
    </row>
    <row r="912" spans="11:16">
      <c r="K912" s="142"/>
      <c r="P912" s="142"/>
    </row>
    <row r="913" spans="11:16">
      <c r="K913" s="142"/>
      <c r="P913" s="142"/>
    </row>
    <row r="914" spans="11:16">
      <c r="K914" s="142"/>
      <c r="P914" s="142"/>
    </row>
    <row r="915" spans="11:16">
      <c r="K915" s="142"/>
      <c r="P915" s="142"/>
    </row>
    <row r="916" spans="11:16">
      <c r="K916" s="142"/>
      <c r="P916" s="142"/>
    </row>
    <row r="917" spans="11:16">
      <c r="K917" s="142"/>
      <c r="P917" s="142"/>
    </row>
    <row r="918" spans="11:16">
      <c r="K918" s="142"/>
      <c r="P918" s="142"/>
    </row>
    <row r="919" spans="11:16">
      <c r="K919" s="142"/>
      <c r="P919" s="142"/>
    </row>
    <row r="920" spans="11:16">
      <c r="K920" s="142"/>
      <c r="P920" s="142"/>
    </row>
    <row r="921" spans="11:16">
      <c r="K921" s="142"/>
      <c r="P921" s="142"/>
    </row>
    <row r="922" spans="11:16">
      <c r="K922" s="142"/>
      <c r="P922" s="142"/>
    </row>
    <row r="923" spans="11:16">
      <c r="K923" s="142"/>
      <c r="P923" s="142"/>
    </row>
    <row r="924" spans="11:16">
      <c r="K924" s="142"/>
      <c r="P924" s="142"/>
    </row>
    <row r="925" spans="11:16">
      <c r="K925" s="142"/>
      <c r="P925" s="142"/>
    </row>
    <row r="926" spans="11:16">
      <c r="K926" s="142"/>
      <c r="P926" s="142"/>
    </row>
    <row r="927" spans="11:16">
      <c r="K927" s="142"/>
      <c r="P927" s="142"/>
    </row>
    <row r="928" spans="11:16">
      <c r="K928" s="142"/>
      <c r="P928" s="142"/>
    </row>
    <row r="929" spans="11:16">
      <c r="K929" s="142"/>
      <c r="P929" s="142"/>
    </row>
    <row r="930" spans="11:16">
      <c r="K930" s="142"/>
      <c r="P930" s="142"/>
    </row>
    <row r="931" spans="11:16">
      <c r="K931" s="142"/>
      <c r="P931" s="142"/>
    </row>
    <row r="932" spans="11:16">
      <c r="K932" s="142"/>
      <c r="P932" s="142"/>
    </row>
    <row r="933" spans="11:16">
      <c r="K933" s="142"/>
      <c r="P933" s="142"/>
    </row>
    <row r="934" spans="11:16">
      <c r="K934" s="142"/>
      <c r="P934" s="142"/>
    </row>
    <row r="935" spans="11:16">
      <c r="K935" s="142"/>
      <c r="P935" s="142"/>
    </row>
    <row r="936" spans="11:16">
      <c r="K936" s="142"/>
      <c r="P936" s="142"/>
    </row>
    <row r="937" spans="11:16">
      <c r="K937" s="142"/>
      <c r="P937" s="142"/>
    </row>
    <row r="938" spans="11:16">
      <c r="K938" s="142"/>
      <c r="P938" s="142"/>
    </row>
    <row r="939" spans="11:16">
      <c r="K939" s="142"/>
      <c r="P939" s="142"/>
    </row>
    <row r="940" spans="11:16">
      <c r="K940" s="142"/>
      <c r="P940" s="142"/>
    </row>
    <row r="941" spans="11:16">
      <c r="K941" s="142"/>
      <c r="P941" s="142"/>
    </row>
    <row r="942" spans="11:16">
      <c r="K942" s="142"/>
      <c r="P942" s="142"/>
    </row>
    <row r="943" spans="11:16">
      <c r="K943" s="142"/>
      <c r="P943" s="142"/>
    </row>
    <row r="944" spans="11:16">
      <c r="K944" s="142"/>
      <c r="P944" s="142"/>
    </row>
    <row r="945" spans="11:16">
      <c r="K945" s="142"/>
      <c r="P945" s="142"/>
    </row>
    <row r="946" spans="11:16">
      <c r="K946" s="142"/>
      <c r="P946" s="142"/>
    </row>
    <row r="947" spans="11:16">
      <c r="K947" s="142"/>
      <c r="P947" s="142"/>
    </row>
    <row r="948" spans="11:16">
      <c r="K948" s="142"/>
      <c r="P948" s="142"/>
    </row>
    <row r="949" spans="11:16">
      <c r="K949" s="142"/>
      <c r="P949" s="142"/>
    </row>
    <row r="950" spans="11:16">
      <c r="K950" s="142"/>
      <c r="P950" s="142"/>
    </row>
    <row r="951" spans="11:16">
      <c r="K951" s="142"/>
      <c r="P951" s="142"/>
    </row>
    <row r="952" spans="11:16">
      <c r="K952" s="142"/>
      <c r="P952" s="142"/>
    </row>
    <row r="953" spans="11:16">
      <c r="K953" s="142"/>
      <c r="P953" s="142"/>
    </row>
    <row r="954" spans="11:16">
      <c r="K954" s="142"/>
      <c r="P954" s="142"/>
    </row>
    <row r="955" spans="11:16">
      <c r="K955" s="142"/>
      <c r="P955" s="142"/>
    </row>
    <row r="956" spans="11:16">
      <c r="K956" s="142"/>
      <c r="P956" s="142"/>
    </row>
    <row r="957" spans="11:16">
      <c r="K957" s="142"/>
      <c r="P957" s="142"/>
    </row>
    <row r="958" spans="11:16">
      <c r="K958" s="142"/>
      <c r="P958" s="142"/>
    </row>
    <row r="959" spans="11:16">
      <c r="K959" s="142"/>
      <c r="P959" s="142"/>
    </row>
    <row r="960" spans="11:16">
      <c r="K960" s="142"/>
      <c r="P960" s="142"/>
    </row>
    <row r="961" spans="11:16">
      <c r="K961" s="142"/>
      <c r="P961" s="142"/>
    </row>
    <row r="962" spans="11:16">
      <c r="K962" s="142"/>
      <c r="P962" s="142"/>
    </row>
    <row r="963" spans="11:16">
      <c r="K963" s="142"/>
      <c r="P963" s="142"/>
    </row>
    <row r="964" spans="11:16">
      <c r="K964" s="142"/>
      <c r="P964" s="142"/>
    </row>
    <row r="965" spans="11:16">
      <c r="K965" s="142"/>
      <c r="P965" s="142"/>
    </row>
    <row r="966" spans="11:16">
      <c r="K966" s="142"/>
      <c r="P966" s="142"/>
    </row>
    <row r="967" spans="11:16">
      <c r="K967" s="142"/>
      <c r="P967" s="142"/>
    </row>
    <row r="968" spans="11:16">
      <c r="K968" s="142"/>
      <c r="P968" s="142"/>
    </row>
    <row r="969" spans="11:16">
      <c r="K969" s="142"/>
      <c r="P969" s="142"/>
    </row>
    <row r="970" spans="11:16">
      <c r="K970" s="142"/>
      <c r="P970" s="142"/>
    </row>
    <row r="971" spans="11:16">
      <c r="K971" s="142"/>
      <c r="P971" s="142"/>
    </row>
    <row r="972" spans="11:16">
      <c r="K972" s="142"/>
      <c r="P972" s="142"/>
    </row>
    <row r="973" spans="11:16">
      <c r="K973" s="142"/>
      <c r="P973" s="142"/>
    </row>
    <row r="974" spans="11:16">
      <c r="K974" s="142"/>
      <c r="P974" s="142"/>
    </row>
    <row r="975" spans="11:16">
      <c r="K975" s="142"/>
      <c r="P975" s="142"/>
    </row>
    <row r="976" spans="11:16">
      <c r="K976" s="142"/>
      <c r="P976" s="142"/>
    </row>
    <row r="977" spans="11:16">
      <c r="K977" s="142"/>
      <c r="P977" s="142"/>
    </row>
    <row r="978" spans="11:16">
      <c r="K978" s="142"/>
      <c r="P978" s="142"/>
    </row>
    <row r="979" spans="11:16">
      <c r="K979" s="142"/>
      <c r="P979" s="142"/>
    </row>
    <row r="980" spans="11:16">
      <c r="K980" s="142"/>
      <c r="P980" s="142"/>
    </row>
    <row r="981" spans="11:16">
      <c r="K981" s="142"/>
      <c r="P981" s="142"/>
    </row>
    <row r="982" spans="11:16">
      <c r="K982" s="142"/>
      <c r="P982" s="142"/>
    </row>
    <row r="983" spans="11:16">
      <c r="K983" s="142"/>
      <c r="P983" s="142"/>
    </row>
    <row r="984" spans="11:16">
      <c r="K984" s="142"/>
      <c r="P984" s="142"/>
    </row>
    <row r="985" spans="11:16">
      <c r="K985" s="142"/>
      <c r="P985" s="142"/>
    </row>
    <row r="986" spans="11:16">
      <c r="K986" s="142"/>
      <c r="P986" s="142"/>
    </row>
    <row r="987" spans="11:16">
      <c r="K987" s="142"/>
      <c r="P987" s="142"/>
    </row>
    <row r="988" spans="11:16">
      <c r="K988" s="142"/>
      <c r="P988" s="142"/>
    </row>
    <row r="989" spans="11:16">
      <c r="K989" s="142"/>
      <c r="P989" s="142"/>
    </row>
    <row r="990" spans="11:16">
      <c r="K990" s="142"/>
      <c r="P990" s="142"/>
    </row>
    <row r="991" spans="11:16">
      <c r="K991" s="142"/>
      <c r="P991" s="142"/>
    </row>
    <row r="992" spans="11:16">
      <c r="K992" s="142"/>
      <c r="P992" s="142"/>
    </row>
    <row r="993" spans="11:16">
      <c r="K993" s="142"/>
      <c r="P993" s="142"/>
    </row>
    <row r="994" spans="11:16">
      <c r="K994" s="142"/>
      <c r="P994" s="142"/>
    </row>
    <row r="995" spans="11:16">
      <c r="K995" s="142"/>
      <c r="P995" s="142"/>
    </row>
    <row r="996" spans="11:16">
      <c r="K996" s="142"/>
      <c r="P996" s="142"/>
    </row>
    <row r="997" spans="11:16">
      <c r="K997" s="142"/>
      <c r="P997" s="142"/>
    </row>
    <row r="998" spans="11:16">
      <c r="K998" s="142"/>
      <c r="P998" s="142"/>
    </row>
    <row r="999" spans="11:16">
      <c r="K999" s="142"/>
      <c r="P999" s="142"/>
    </row>
    <row r="1000" spans="11:16">
      <c r="K1000" s="142"/>
      <c r="P1000" s="142"/>
    </row>
    <row r="1001" spans="11:16">
      <c r="K1001" s="142"/>
      <c r="P1001" s="142"/>
    </row>
    <row r="1002" spans="11:16">
      <c r="K1002" s="142"/>
      <c r="P1002" s="142"/>
    </row>
    <row r="1003" spans="11:16">
      <c r="K1003" s="142"/>
      <c r="P1003" s="142"/>
    </row>
    <row r="1004" spans="11:16">
      <c r="K1004" s="142"/>
      <c r="P1004" s="142"/>
    </row>
    <row r="1005" spans="11:16">
      <c r="K1005" s="142"/>
      <c r="P1005" s="142"/>
    </row>
    <row r="1006" spans="11:16">
      <c r="K1006" s="142"/>
      <c r="P1006" s="142"/>
    </row>
    <row r="1007" spans="11:16">
      <c r="K1007" s="142"/>
      <c r="P1007" s="142"/>
    </row>
    <row r="1008" spans="11:16">
      <c r="K1008" s="142"/>
      <c r="P1008" s="142"/>
    </row>
    <row r="1009" spans="11:16">
      <c r="K1009" s="142"/>
      <c r="P1009" s="142"/>
    </row>
    <row r="1010" spans="11:16">
      <c r="K1010" s="142"/>
      <c r="P1010" s="142"/>
    </row>
    <row r="1011" spans="11:16">
      <c r="K1011" s="142"/>
      <c r="P1011" s="142"/>
    </row>
    <row r="1012" spans="11:16">
      <c r="K1012" s="142"/>
      <c r="P1012" s="142"/>
    </row>
    <row r="1013" spans="11:16">
      <c r="K1013" s="142"/>
      <c r="P1013" s="142"/>
    </row>
    <row r="1014" spans="11:16">
      <c r="K1014" s="142"/>
      <c r="P1014" s="142"/>
    </row>
    <row r="1015" spans="11:16">
      <c r="K1015" s="142"/>
      <c r="P1015" s="142"/>
    </row>
    <row r="1016" spans="11:16">
      <c r="K1016" s="142"/>
      <c r="P1016" s="142"/>
    </row>
    <row r="1017" spans="11:16">
      <c r="K1017" s="142"/>
      <c r="P1017" s="142"/>
    </row>
    <row r="1018" spans="11:16">
      <c r="K1018" s="142"/>
      <c r="P1018" s="142"/>
    </row>
    <row r="1019" spans="11:16">
      <c r="K1019" s="142"/>
      <c r="P1019" s="142"/>
    </row>
    <row r="1020" spans="11:16">
      <c r="K1020" s="142"/>
      <c r="P1020" s="142"/>
    </row>
    <row r="1021" spans="11:16">
      <c r="K1021" s="142"/>
      <c r="P1021" s="142"/>
    </row>
    <row r="1022" spans="11:16">
      <c r="K1022" s="142"/>
      <c r="P1022" s="142"/>
    </row>
    <row r="1023" spans="11:16">
      <c r="K1023" s="142"/>
      <c r="P1023" s="142"/>
    </row>
    <row r="1024" spans="11:16">
      <c r="K1024" s="142"/>
      <c r="P1024" s="142"/>
    </row>
    <row r="1025" spans="11:16">
      <c r="K1025" s="142"/>
      <c r="P1025" s="142"/>
    </row>
    <row r="1026" spans="11:16">
      <c r="K1026" s="142"/>
      <c r="P1026" s="142"/>
    </row>
    <row r="1027" spans="11:16">
      <c r="K1027" s="142"/>
      <c r="P1027" s="142"/>
    </row>
    <row r="1028" spans="11:16">
      <c r="K1028" s="142"/>
      <c r="P1028" s="142"/>
    </row>
    <row r="1029" spans="11:16">
      <c r="K1029" s="142"/>
      <c r="P1029" s="142"/>
    </row>
    <row r="1030" spans="11:16">
      <c r="K1030" s="142"/>
      <c r="P1030" s="142"/>
    </row>
    <row r="1031" spans="11:16">
      <c r="K1031" s="142"/>
      <c r="P1031" s="142"/>
    </row>
    <row r="1032" spans="11:16">
      <c r="K1032" s="142"/>
      <c r="P1032" s="142"/>
    </row>
    <row r="1033" spans="11:16">
      <c r="K1033" s="142"/>
      <c r="P1033" s="142"/>
    </row>
    <row r="1034" spans="11:16">
      <c r="K1034" s="142"/>
      <c r="P1034" s="142"/>
    </row>
    <row r="1035" spans="11:16">
      <c r="K1035" s="142"/>
      <c r="P1035" s="142"/>
    </row>
    <row r="1036" spans="11:16">
      <c r="K1036" s="142"/>
      <c r="P1036" s="142"/>
    </row>
    <row r="1037" spans="11:16">
      <c r="K1037" s="142"/>
      <c r="P1037" s="142"/>
    </row>
    <row r="1038" spans="11:16">
      <c r="K1038" s="142"/>
      <c r="P1038" s="142"/>
    </row>
    <row r="1039" spans="11:16">
      <c r="K1039" s="142"/>
      <c r="P1039" s="142"/>
    </row>
    <row r="1040" spans="11:16">
      <c r="K1040" s="142"/>
      <c r="P1040" s="142"/>
    </row>
    <row r="1041" spans="11:16">
      <c r="K1041" s="142"/>
      <c r="P1041" s="142"/>
    </row>
    <row r="1042" spans="11:16">
      <c r="K1042" s="142"/>
      <c r="P1042" s="142"/>
    </row>
    <row r="1043" spans="11:16">
      <c r="K1043" s="142"/>
      <c r="P1043" s="142"/>
    </row>
    <row r="1044" spans="11:16">
      <c r="K1044" s="142"/>
      <c r="P1044" s="142"/>
    </row>
    <row r="1045" spans="11:16">
      <c r="K1045" s="142"/>
      <c r="P1045" s="142"/>
    </row>
    <row r="1046" spans="11:16">
      <c r="K1046" s="142"/>
      <c r="P1046" s="142"/>
    </row>
    <row r="1047" spans="11:16">
      <c r="K1047" s="142"/>
      <c r="P1047" s="142"/>
    </row>
    <row r="1048" spans="11:16">
      <c r="K1048" s="142"/>
      <c r="P1048" s="142"/>
    </row>
    <row r="1049" spans="11:16">
      <c r="K1049" s="142"/>
      <c r="P1049" s="142"/>
    </row>
    <row r="1050" spans="11:16">
      <c r="K1050" s="142"/>
      <c r="P1050" s="142"/>
    </row>
    <row r="1051" spans="11:16">
      <c r="K1051" s="142"/>
      <c r="P1051" s="142"/>
    </row>
    <row r="1052" spans="11:16">
      <c r="K1052" s="142"/>
      <c r="P1052" s="142"/>
    </row>
    <row r="1053" spans="11:16">
      <c r="K1053" s="142"/>
      <c r="P1053" s="142"/>
    </row>
    <row r="1054" spans="11:16">
      <c r="K1054" s="142"/>
      <c r="P1054" s="142"/>
    </row>
    <row r="1055" spans="11:16">
      <c r="K1055" s="142"/>
      <c r="P1055" s="142"/>
    </row>
    <row r="1056" spans="11:16">
      <c r="K1056" s="142"/>
      <c r="P1056" s="142"/>
    </row>
    <row r="1057" spans="11:16">
      <c r="K1057" s="142"/>
      <c r="P1057" s="142"/>
    </row>
    <row r="1058" spans="11:16">
      <c r="K1058" s="142"/>
      <c r="P1058" s="142"/>
    </row>
    <row r="1059" spans="11:16">
      <c r="K1059" s="142"/>
      <c r="P1059" s="142"/>
    </row>
    <row r="1060" spans="11:16">
      <c r="K1060" s="142"/>
      <c r="P1060" s="142"/>
    </row>
    <row r="1061" spans="11:16">
      <c r="K1061" s="142"/>
      <c r="P1061" s="142"/>
    </row>
    <row r="1062" spans="11:16">
      <c r="K1062" s="142"/>
      <c r="P1062" s="142"/>
    </row>
    <row r="1063" spans="11:16">
      <c r="K1063" s="142"/>
      <c r="P1063" s="142"/>
    </row>
    <row r="1064" spans="11:16">
      <c r="K1064" s="142"/>
      <c r="P1064" s="142"/>
    </row>
    <row r="1065" spans="11:16">
      <c r="K1065" s="142"/>
      <c r="P1065" s="142"/>
    </row>
    <row r="1066" spans="11:16">
      <c r="K1066" s="142"/>
      <c r="P1066" s="142"/>
    </row>
    <row r="1067" spans="11:16">
      <c r="K1067" s="142"/>
      <c r="P1067" s="142"/>
    </row>
    <row r="1068" spans="11:16">
      <c r="K1068" s="142"/>
      <c r="P1068" s="142"/>
    </row>
    <row r="1069" spans="11:16">
      <c r="K1069" s="142"/>
      <c r="P1069" s="142"/>
    </row>
    <row r="1070" spans="11:16">
      <c r="K1070" s="142"/>
      <c r="P1070" s="142"/>
    </row>
    <row r="1071" spans="11:16">
      <c r="K1071" s="142"/>
      <c r="P1071" s="142"/>
    </row>
    <row r="1072" spans="11:16">
      <c r="K1072" s="142"/>
      <c r="P1072" s="142"/>
    </row>
    <row r="1073" spans="11:16">
      <c r="K1073" s="142"/>
      <c r="P1073" s="142"/>
    </row>
    <row r="1074" spans="11:16">
      <c r="K1074" s="142"/>
      <c r="P1074" s="142"/>
    </row>
    <row r="1075" spans="11:16">
      <c r="K1075" s="142"/>
      <c r="P1075" s="142"/>
    </row>
    <row r="1076" spans="11:16">
      <c r="K1076" s="142"/>
      <c r="P1076" s="142"/>
    </row>
    <row r="1077" spans="11:16">
      <c r="K1077" s="142"/>
      <c r="P1077" s="142"/>
    </row>
    <row r="1078" spans="11:16">
      <c r="K1078" s="142"/>
      <c r="P1078" s="142"/>
    </row>
    <row r="1079" spans="11:16">
      <c r="K1079" s="142"/>
      <c r="P1079" s="142"/>
    </row>
    <row r="1080" spans="11:16">
      <c r="K1080" s="142"/>
      <c r="P1080" s="142"/>
    </row>
    <row r="1081" spans="11:16">
      <c r="K1081" s="142"/>
      <c r="P1081" s="142"/>
    </row>
    <row r="1082" spans="11:16">
      <c r="K1082" s="142"/>
      <c r="P1082" s="142"/>
    </row>
    <row r="1083" spans="11:16">
      <c r="K1083" s="142"/>
      <c r="P1083" s="142"/>
    </row>
    <row r="1084" spans="11:16">
      <c r="K1084" s="142"/>
      <c r="P1084" s="142"/>
    </row>
    <row r="1085" spans="11:16">
      <c r="K1085" s="142"/>
      <c r="P1085" s="142"/>
    </row>
    <row r="1086" spans="11:16">
      <c r="K1086" s="142"/>
      <c r="P1086" s="142"/>
    </row>
    <row r="1087" spans="11:16">
      <c r="K1087" s="142"/>
      <c r="P1087" s="142"/>
    </row>
    <row r="1088" spans="11:16">
      <c r="K1088" s="142"/>
      <c r="P1088" s="142"/>
    </row>
    <row r="1089" spans="11:16">
      <c r="K1089" s="142"/>
      <c r="P1089" s="142"/>
    </row>
    <row r="1090" spans="11:16">
      <c r="K1090" s="142"/>
      <c r="P1090" s="142"/>
    </row>
    <row r="1091" spans="11:16">
      <c r="K1091" s="142"/>
      <c r="P1091" s="142"/>
    </row>
    <row r="1092" spans="11:16">
      <c r="K1092" s="142"/>
      <c r="P1092" s="142"/>
    </row>
    <row r="1093" spans="11:16">
      <c r="K1093" s="142"/>
      <c r="P1093" s="142"/>
    </row>
    <row r="1094" spans="11:16">
      <c r="K1094" s="142"/>
      <c r="P1094" s="142"/>
    </row>
    <row r="1095" spans="11:16">
      <c r="K1095" s="142"/>
      <c r="P1095" s="142"/>
    </row>
    <row r="1096" spans="11:16">
      <c r="K1096" s="142"/>
      <c r="P1096" s="142"/>
    </row>
    <row r="1097" spans="11:16">
      <c r="K1097" s="142"/>
      <c r="P1097" s="142"/>
    </row>
    <row r="1098" spans="11:16">
      <c r="K1098" s="142"/>
      <c r="P1098" s="142"/>
    </row>
    <row r="1099" spans="11:16">
      <c r="K1099" s="142"/>
      <c r="P1099" s="142"/>
    </row>
    <row r="1100" spans="11:16">
      <c r="K1100" s="142"/>
      <c r="P1100" s="142"/>
    </row>
    <row r="1101" spans="11:16">
      <c r="K1101" s="142"/>
      <c r="P1101" s="142"/>
    </row>
    <row r="1102" spans="11:16">
      <c r="K1102" s="142"/>
      <c r="P1102" s="142"/>
    </row>
    <row r="1103" spans="11:16">
      <c r="K1103" s="142"/>
      <c r="P1103" s="142"/>
    </row>
    <row r="1104" spans="11:16">
      <c r="K1104" s="142"/>
      <c r="P1104" s="142"/>
    </row>
    <row r="1105" spans="11:16">
      <c r="K1105" s="142"/>
      <c r="P1105" s="142"/>
    </row>
    <row r="1106" spans="11:16">
      <c r="K1106" s="142"/>
      <c r="P1106" s="142"/>
    </row>
    <row r="1107" spans="11:16">
      <c r="K1107" s="142"/>
      <c r="P1107" s="142"/>
    </row>
    <row r="1108" spans="11:16">
      <c r="K1108" s="142"/>
      <c r="P1108" s="142"/>
    </row>
    <row r="1109" spans="11:16">
      <c r="K1109" s="142"/>
      <c r="P1109" s="142"/>
    </row>
    <row r="1110" spans="11:16">
      <c r="K1110" s="142"/>
      <c r="P1110" s="142"/>
    </row>
    <row r="1111" spans="11:16">
      <c r="K1111" s="142"/>
      <c r="P1111" s="142"/>
    </row>
    <row r="1112" spans="11:16">
      <c r="K1112" s="142"/>
      <c r="P1112" s="142"/>
    </row>
    <row r="1113" spans="11:16">
      <c r="K1113" s="142"/>
      <c r="P1113" s="142"/>
    </row>
    <row r="1114" spans="11:16">
      <c r="K1114" s="142"/>
      <c r="P1114" s="142"/>
    </row>
    <row r="1115" spans="11:16">
      <c r="K1115" s="142"/>
      <c r="P1115" s="142"/>
    </row>
    <row r="1116" spans="11:16">
      <c r="K1116" s="142"/>
      <c r="P1116" s="142"/>
    </row>
    <row r="1117" spans="11:16">
      <c r="K1117" s="142"/>
      <c r="P1117" s="142"/>
    </row>
    <row r="1118" spans="11:16">
      <c r="K1118" s="142"/>
      <c r="P1118" s="142"/>
    </row>
    <row r="1119" spans="11:16">
      <c r="K1119" s="142"/>
      <c r="P1119" s="142"/>
    </row>
    <row r="1120" spans="11:16">
      <c r="K1120" s="142"/>
      <c r="P1120" s="142"/>
    </row>
    <row r="1121" spans="11:16">
      <c r="K1121" s="142"/>
      <c r="P1121" s="142"/>
    </row>
    <row r="1122" spans="11:16">
      <c r="K1122" s="142"/>
      <c r="P1122" s="142"/>
    </row>
    <row r="1123" spans="11:16">
      <c r="K1123" s="142"/>
      <c r="P1123" s="142"/>
    </row>
    <row r="1124" spans="11:16">
      <c r="K1124" s="142"/>
      <c r="P1124" s="142"/>
    </row>
    <row r="1125" spans="11:16">
      <c r="K1125" s="142"/>
      <c r="P1125" s="142"/>
    </row>
    <row r="1126" spans="11:16">
      <c r="K1126" s="142"/>
      <c r="P1126" s="142"/>
    </row>
    <row r="1127" spans="11:16">
      <c r="K1127" s="142"/>
      <c r="P1127" s="142"/>
    </row>
    <row r="1128" spans="11:16">
      <c r="K1128" s="142"/>
      <c r="P1128" s="142"/>
    </row>
    <row r="1129" spans="11:16">
      <c r="K1129" s="142"/>
      <c r="P1129" s="142"/>
    </row>
    <row r="1130" spans="11:16">
      <c r="K1130" s="142"/>
      <c r="P1130" s="142"/>
    </row>
    <row r="1131" spans="11:16">
      <c r="K1131" s="142"/>
      <c r="P1131" s="142"/>
    </row>
    <row r="1132" spans="11:16">
      <c r="K1132" s="142"/>
      <c r="P1132" s="142"/>
    </row>
    <row r="1133" spans="11:16">
      <c r="K1133" s="142"/>
      <c r="P1133" s="142"/>
    </row>
    <row r="1134" spans="11:16">
      <c r="K1134" s="142"/>
      <c r="P1134" s="142"/>
    </row>
    <row r="1135" spans="11:16">
      <c r="K1135" s="142"/>
      <c r="P1135" s="142"/>
    </row>
    <row r="1136" spans="11:16">
      <c r="K1136" s="142"/>
      <c r="P1136" s="142"/>
    </row>
    <row r="1137" spans="11:16">
      <c r="K1137" s="142"/>
      <c r="P1137" s="142"/>
    </row>
    <row r="1138" spans="11:16">
      <c r="K1138" s="142"/>
      <c r="P1138" s="142"/>
    </row>
    <row r="1139" spans="11:16">
      <c r="K1139" s="142"/>
      <c r="P1139" s="142"/>
    </row>
    <row r="1140" spans="11:16">
      <c r="K1140" s="142"/>
      <c r="P1140" s="142"/>
    </row>
    <row r="1141" spans="11:16">
      <c r="K1141" s="142"/>
      <c r="P1141" s="142"/>
    </row>
    <row r="1142" spans="11:16">
      <c r="K1142" s="142"/>
      <c r="P1142" s="142"/>
    </row>
    <row r="1143" spans="11:16">
      <c r="K1143" s="142"/>
      <c r="P1143" s="142"/>
    </row>
    <row r="1144" spans="11:16">
      <c r="K1144" s="142"/>
      <c r="P1144" s="142"/>
    </row>
    <row r="1145" spans="11:16">
      <c r="K1145" s="142"/>
      <c r="P1145" s="142"/>
    </row>
    <row r="1146" spans="11:16">
      <c r="K1146" s="142"/>
      <c r="P1146" s="142"/>
    </row>
    <row r="1147" spans="11:16">
      <c r="K1147" s="142"/>
      <c r="P1147" s="142"/>
    </row>
    <row r="1148" spans="11:16">
      <c r="K1148" s="142"/>
      <c r="P1148" s="142"/>
    </row>
    <row r="1149" spans="11:16">
      <c r="K1149" s="142"/>
      <c r="P1149" s="142"/>
    </row>
    <row r="1150" spans="11:16">
      <c r="K1150" s="142"/>
      <c r="P1150" s="142"/>
    </row>
    <row r="1151" spans="11:16">
      <c r="K1151" s="142"/>
      <c r="P1151" s="142"/>
    </row>
    <row r="1152" spans="11:16">
      <c r="K1152" s="142"/>
      <c r="P1152" s="142"/>
    </row>
    <row r="1153" spans="11:16">
      <c r="K1153" s="142"/>
      <c r="P1153" s="142"/>
    </row>
    <row r="1154" spans="11:16">
      <c r="K1154" s="142"/>
      <c r="P1154" s="142"/>
    </row>
    <row r="1155" spans="11:16">
      <c r="K1155" s="142"/>
      <c r="P1155" s="142"/>
    </row>
    <row r="1156" spans="11:16">
      <c r="K1156" s="142"/>
      <c r="P1156" s="142"/>
    </row>
    <row r="1157" spans="11:16">
      <c r="K1157" s="142"/>
      <c r="P1157" s="142"/>
    </row>
    <row r="1158" spans="11:16">
      <c r="K1158" s="142"/>
      <c r="P1158" s="142"/>
    </row>
    <row r="1159" spans="11:16">
      <c r="K1159" s="142"/>
      <c r="P1159" s="142"/>
    </row>
    <row r="1160" spans="11:16">
      <c r="K1160" s="142"/>
      <c r="P1160" s="142"/>
    </row>
    <row r="1161" spans="11:16">
      <c r="K1161" s="142"/>
      <c r="P1161" s="142"/>
    </row>
    <row r="1162" spans="11:16">
      <c r="K1162" s="142"/>
      <c r="P1162" s="142"/>
    </row>
    <row r="1163" spans="11:16">
      <c r="K1163" s="142"/>
      <c r="P1163" s="142"/>
    </row>
    <row r="1164" spans="11:16">
      <c r="K1164" s="142"/>
      <c r="P1164" s="142"/>
    </row>
    <row r="1165" spans="11:16">
      <c r="K1165" s="142"/>
      <c r="P1165" s="142"/>
    </row>
    <row r="1166" spans="11:16">
      <c r="K1166" s="142"/>
      <c r="P1166" s="142"/>
    </row>
    <row r="1167" spans="11:16">
      <c r="K1167" s="142"/>
      <c r="P1167" s="142"/>
    </row>
    <row r="1168" spans="11:16">
      <c r="K1168" s="142"/>
      <c r="P1168" s="142"/>
    </row>
    <row r="1169" spans="11:16">
      <c r="K1169" s="142"/>
      <c r="P1169" s="142"/>
    </row>
    <row r="1170" spans="11:16">
      <c r="K1170" s="142"/>
      <c r="P1170" s="142"/>
    </row>
    <row r="1171" spans="11:16">
      <c r="K1171" s="142"/>
      <c r="P1171" s="142"/>
    </row>
    <row r="1172" spans="11:16">
      <c r="K1172" s="142"/>
      <c r="P1172" s="142"/>
    </row>
    <row r="1173" spans="11:16">
      <c r="K1173" s="142"/>
      <c r="P1173" s="142"/>
    </row>
    <row r="1174" spans="11:16">
      <c r="K1174" s="142"/>
      <c r="P1174" s="142"/>
    </row>
    <row r="1175" spans="11:16">
      <c r="K1175" s="142"/>
      <c r="P1175" s="142"/>
    </row>
    <row r="1176" spans="11:16">
      <c r="K1176" s="142"/>
      <c r="P1176" s="142"/>
    </row>
    <row r="1177" spans="11:16">
      <c r="K1177" s="142"/>
      <c r="P1177" s="142"/>
    </row>
    <row r="1178" spans="11:16">
      <c r="K1178" s="142"/>
      <c r="P1178" s="142"/>
    </row>
    <row r="1179" spans="11:16">
      <c r="K1179" s="142"/>
      <c r="P1179" s="142"/>
    </row>
    <row r="1180" spans="11:16">
      <c r="K1180" s="142"/>
      <c r="P1180" s="142"/>
    </row>
    <row r="1181" spans="11:16">
      <c r="K1181" s="142"/>
      <c r="P1181" s="142"/>
    </row>
    <row r="1182" spans="11:16">
      <c r="K1182" s="142"/>
      <c r="P1182" s="142"/>
    </row>
    <row r="1183" spans="11:16">
      <c r="K1183" s="142"/>
      <c r="P1183" s="142"/>
    </row>
    <row r="1184" spans="11:16">
      <c r="K1184" s="142"/>
      <c r="P1184" s="142"/>
    </row>
    <row r="1185" spans="11:16">
      <c r="K1185" s="142"/>
      <c r="P1185" s="142"/>
    </row>
    <row r="1186" spans="11:16">
      <c r="K1186" s="142"/>
      <c r="P1186" s="142"/>
    </row>
    <row r="1187" spans="11:16">
      <c r="K1187" s="142"/>
      <c r="P1187" s="142"/>
    </row>
    <row r="1188" spans="11:16">
      <c r="K1188" s="142"/>
      <c r="P1188" s="142"/>
    </row>
    <row r="1189" spans="11:16">
      <c r="K1189" s="142"/>
      <c r="P1189" s="142"/>
    </row>
    <row r="1190" spans="11:16">
      <c r="K1190" s="142"/>
      <c r="P1190" s="142"/>
    </row>
    <row r="1191" spans="11:16">
      <c r="K1191" s="142"/>
      <c r="P1191" s="142"/>
    </row>
    <row r="1192" spans="11:16">
      <c r="K1192" s="142"/>
      <c r="P1192" s="142"/>
    </row>
    <row r="1193" spans="11:16">
      <c r="K1193" s="142"/>
      <c r="P1193" s="142"/>
    </row>
    <row r="1194" spans="11:16">
      <c r="K1194" s="142"/>
      <c r="P1194" s="142"/>
    </row>
    <row r="1195" spans="11:16">
      <c r="K1195" s="142"/>
      <c r="P1195" s="142"/>
    </row>
    <row r="1196" spans="11:16">
      <c r="K1196" s="142"/>
      <c r="P1196" s="142"/>
    </row>
    <row r="1197" spans="11:16">
      <c r="K1197" s="142"/>
      <c r="P1197" s="142"/>
    </row>
    <row r="1198" spans="11:16">
      <c r="K1198" s="142"/>
      <c r="P1198" s="142"/>
    </row>
    <row r="1199" spans="11:16">
      <c r="K1199" s="142"/>
      <c r="P1199" s="142"/>
    </row>
    <row r="1200" spans="11:16">
      <c r="K1200" s="142"/>
      <c r="P1200" s="142"/>
    </row>
    <row r="1201" spans="11:16">
      <c r="K1201" s="142"/>
      <c r="P1201" s="142"/>
    </row>
    <row r="1202" spans="11:16">
      <c r="K1202" s="142"/>
      <c r="P1202" s="142"/>
    </row>
    <row r="1203" spans="11:16">
      <c r="K1203" s="142"/>
      <c r="P1203" s="142"/>
    </row>
    <row r="1204" spans="11:16">
      <c r="K1204" s="142"/>
      <c r="P1204" s="142"/>
    </row>
    <row r="1205" spans="11:16">
      <c r="K1205" s="142"/>
      <c r="P1205" s="142"/>
    </row>
    <row r="1206" spans="11:16">
      <c r="K1206" s="142"/>
      <c r="P1206" s="142"/>
    </row>
    <row r="1207" spans="11:16">
      <c r="K1207" s="142"/>
      <c r="P1207" s="142"/>
    </row>
    <row r="1208" spans="11:16">
      <c r="K1208" s="142"/>
      <c r="P1208" s="142"/>
    </row>
    <row r="1209" spans="11:16">
      <c r="K1209" s="142"/>
      <c r="P1209" s="142"/>
    </row>
    <row r="1210" spans="11:16">
      <c r="K1210" s="142"/>
      <c r="P1210" s="142"/>
    </row>
    <row r="1211" spans="11:16">
      <c r="K1211" s="142"/>
      <c r="P1211" s="142"/>
    </row>
    <row r="1212" spans="11:16">
      <c r="K1212" s="142"/>
      <c r="P1212" s="142"/>
    </row>
    <row r="1213" spans="11:16">
      <c r="K1213" s="142"/>
      <c r="P1213" s="142"/>
    </row>
    <row r="1214" spans="11:16">
      <c r="K1214" s="142"/>
      <c r="P1214" s="142"/>
    </row>
    <row r="1215" spans="11:16">
      <c r="K1215" s="142"/>
      <c r="P1215" s="142"/>
    </row>
    <row r="1216" spans="11:16">
      <c r="K1216" s="142"/>
      <c r="P1216" s="142"/>
    </row>
    <row r="1217" spans="11:16">
      <c r="K1217" s="142"/>
      <c r="P1217" s="142"/>
    </row>
    <row r="1218" spans="11:16">
      <c r="K1218" s="142"/>
      <c r="P1218" s="142"/>
    </row>
    <row r="1219" spans="11:16">
      <c r="K1219" s="142"/>
      <c r="P1219" s="142"/>
    </row>
    <row r="1220" spans="11:16">
      <c r="K1220" s="142"/>
      <c r="P1220" s="142"/>
    </row>
    <row r="1221" spans="11:16">
      <c r="K1221" s="142"/>
      <c r="P1221" s="142"/>
    </row>
    <row r="1222" spans="11:16">
      <c r="K1222" s="142"/>
      <c r="P1222" s="142"/>
    </row>
    <row r="1223" spans="11:16">
      <c r="K1223" s="142"/>
      <c r="P1223" s="142"/>
    </row>
    <row r="1224" spans="11:16">
      <c r="K1224" s="142"/>
      <c r="P1224" s="142"/>
    </row>
    <row r="1225" spans="11:16">
      <c r="K1225" s="142"/>
      <c r="P1225" s="142"/>
    </row>
    <row r="1226" spans="11:16">
      <c r="K1226" s="142"/>
      <c r="P1226" s="142"/>
    </row>
    <row r="1227" spans="11:16">
      <c r="K1227" s="142"/>
      <c r="P1227" s="142"/>
    </row>
    <row r="1228" spans="11:16">
      <c r="K1228" s="142"/>
      <c r="P1228" s="142"/>
    </row>
    <row r="1229" spans="11:16">
      <c r="K1229" s="142"/>
      <c r="P1229" s="142"/>
    </row>
    <row r="1230" spans="11:16">
      <c r="K1230" s="142"/>
      <c r="P1230" s="142"/>
    </row>
    <row r="1231" spans="11:16">
      <c r="K1231" s="142"/>
      <c r="P1231" s="142"/>
    </row>
    <row r="1232" spans="11:16">
      <c r="K1232" s="142"/>
      <c r="P1232" s="142"/>
    </row>
    <row r="1233" spans="11:16">
      <c r="K1233" s="142"/>
      <c r="P1233" s="142"/>
    </row>
    <row r="1234" spans="11:16">
      <c r="K1234" s="142"/>
      <c r="P1234" s="142"/>
    </row>
    <row r="1235" spans="11:16">
      <c r="K1235" s="142"/>
      <c r="P1235" s="142"/>
    </row>
    <row r="1236" spans="11:16">
      <c r="K1236" s="142"/>
      <c r="P1236" s="142"/>
    </row>
    <row r="1237" spans="11:16">
      <c r="K1237" s="142"/>
      <c r="P1237" s="142"/>
    </row>
    <row r="1238" spans="11:16">
      <c r="K1238" s="142"/>
      <c r="P1238" s="142"/>
    </row>
    <row r="1239" spans="11:16">
      <c r="K1239" s="142"/>
      <c r="P1239" s="142"/>
    </row>
    <row r="1240" spans="11:16">
      <c r="K1240" s="142"/>
      <c r="P1240" s="142"/>
    </row>
    <row r="1241" spans="11:16">
      <c r="K1241" s="142"/>
      <c r="P1241" s="142"/>
    </row>
    <row r="1242" spans="11:16">
      <c r="K1242" s="142"/>
      <c r="P1242" s="142"/>
    </row>
    <row r="1243" spans="11:16">
      <c r="K1243" s="142"/>
      <c r="P1243" s="142"/>
    </row>
    <row r="1244" spans="11:16">
      <c r="K1244" s="142"/>
      <c r="P1244" s="142"/>
    </row>
    <row r="1245" spans="11:16">
      <c r="K1245" s="142"/>
      <c r="P1245" s="142"/>
    </row>
    <row r="1246" spans="11:16">
      <c r="K1246" s="142"/>
      <c r="P1246" s="142"/>
    </row>
    <row r="1247" spans="11:16">
      <c r="K1247" s="142"/>
      <c r="P1247" s="142"/>
    </row>
    <row r="1248" spans="11:16">
      <c r="K1248" s="142"/>
      <c r="P1248" s="142"/>
    </row>
    <row r="1249" spans="11:16">
      <c r="K1249" s="142"/>
      <c r="P1249" s="142"/>
    </row>
    <row r="1250" spans="11:16">
      <c r="K1250" s="142"/>
      <c r="P1250" s="142"/>
    </row>
    <row r="1251" spans="11:16">
      <c r="K1251" s="142"/>
      <c r="P1251" s="142"/>
    </row>
    <row r="1252" spans="11:16">
      <c r="K1252" s="142"/>
      <c r="P1252" s="142"/>
    </row>
    <row r="1253" spans="11:16">
      <c r="K1253" s="142"/>
      <c r="P1253" s="142"/>
    </row>
    <row r="1254" spans="11:16">
      <c r="K1254" s="142"/>
      <c r="P1254" s="142"/>
    </row>
    <row r="1255" spans="11:16">
      <c r="K1255" s="142"/>
      <c r="P1255" s="142"/>
    </row>
    <row r="1256" spans="11:16">
      <c r="K1256" s="142"/>
      <c r="P1256" s="142"/>
    </row>
    <row r="1257" spans="11:16">
      <c r="K1257" s="142"/>
      <c r="P1257" s="142"/>
    </row>
    <row r="1258" spans="11:16">
      <c r="K1258" s="142"/>
      <c r="P1258" s="142"/>
    </row>
    <row r="1259" spans="11:16">
      <c r="K1259" s="142"/>
      <c r="P1259" s="142"/>
    </row>
    <row r="1260" spans="11:16">
      <c r="K1260" s="142"/>
      <c r="P1260" s="142"/>
    </row>
    <row r="1261" spans="11:16">
      <c r="K1261" s="142"/>
      <c r="P1261" s="142"/>
    </row>
    <row r="1262" spans="11:16">
      <c r="K1262" s="142"/>
      <c r="P1262" s="142"/>
    </row>
    <row r="1263" spans="11:16">
      <c r="K1263" s="142"/>
      <c r="P1263" s="142"/>
    </row>
    <row r="1264" spans="11:16">
      <c r="K1264" s="142"/>
      <c r="P1264" s="142"/>
    </row>
    <row r="1265" spans="11:16">
      <c r="K1265" s="142"/>
      <c r="P1265" s="142"/>
    </row>
    <row r="1266" spans="11:16">
      <c r="K1266" s="142"/>
      <c r="P1266" s="142"/>
    </row>
    <row r="1267" spans="11:16">
      <c r="K1267" s="142"/>
      <c r="P1267" s="142"/>
    </row>
    <row r="1268" spans="11:16">
      <c r="K1268" s="155"/>
      <c r="P1268" s="142"/>
    </row>
    <row r="1269" spans="11:16">
      <c r="K1269" s="155"/>
      <c r="P1269" s="142"/>
    </row>
    <row r="1270" spans="11:16">
      <c r="K1270" s="155"/>
      <c r="P1270" s="142"/>
    </row>
    <row r="1271" spans="11:16">
      <c r="K1271" s="155"/>
      <c r="P1271" s="142"/>
    </row>
    <row r="1272" spans="11:16">
      <c r="K1272" s="155"/>
      <c r="P1272" s="142"/>
    </row>
    <row r="1273" spans="11:16">
      <c r="K1273" s="155"/>
      <c r="P1273" s="142"/>
    </row>
    <row r="1274" spans="11:16">
      <c r="K1274" s="155"/>
      <c r="P1274" s="142"/>
    </row>
    <row r="1275" spans="11:16">
      <c r="K1275" s="155"/>
      <c r="P1275" s="142"/>
    </row>
    <row r="1276" spans="11:16">
      <c r="K1276" s="155"/>
      <c r="P1276" s="142"/>
    </row>
    <row r="1277" spans="11:16">
      <c r="K1277" s="155"/>
      <c r="P1277" s="142"/>
    </row>
    <row r="1278" spans="11:16">
      <c r="K1278" s="155"/>
      <c r="P1278" s="142"/>
    </row>
    <row r="1279" spans="11:16">
      <c r="K1279" s="155"/>
      <c r="P1279" s="142"/>
    </row>
    <row r="1280" spans="11:16">
      <c r="K1280" s="155"/>
      <c r="P1280" s="142"/>
    </row>
    <row r="1281" spans="11:16">
      <c r="K1281" s="155"/>
      <c r="P1281" s="142"/>
    </row>
    <row r="1282" spans="11:16">
      <c r="K1282" s="155"/>
      <c r="P1282" s="142"/>
    </row>
    <row r="1283" spans="11:16">
      <c r="K1283" s="155"/>
      <c r="P1283" s="142"/>
    </row>
    <row r="1284" spans="11:16">
      <c r="K1284" s="155"/>
      <c r="P1284" s="142"/>
    </row>
    <row r="1285" spans="11:16">
      <c r="K1285" s="155"/>
      <c r="P1285" s="142"/>
    </row>
    <row r="1286" spans="11:16">
      <c r="K1286" s="155"/>
      <c r="P1286" s="142"/>
    </row>
    <row r="1287" spans="11:16">
      <c r="K1287" s="155"/>
      <c r="P1287" s="142"/>
    </row>
    <row r="1288" spans="11:16">
      <c r="K1288" s="155"/>
      <c r="P1288" s="142"/>
    </row>
    <row r="1289" spans="11:16">
      <c r="K1289" s="155"/>
      <c r="P1289" s="142"/>
    </row>
    <row r="1290" spans="11:16">
      <c r="K1290" s="155"/>
      <c r="P1290" s="142"/>
    </row>
    <row r="1291" spans="11:16">
      <c r="K1291" s="155"/>
      <c r="P1291" s="142"/>
    </row>
    <row r="1292" spans="11:16">
      <c r="K1292" s="155"/>
      <c r="P1292" s="142"/>
    </row>
    <row r="1293" spans="11:16">
      <c r="K1293" s="155"/>
      <c r="P1293" s="142"/>
    </row>
    <row r="1294" spans="11:16">
      <c r="K1294" s="155"/>
      <c r="P1294" s="142"/>
    </row>
    <row r="1295" spans="11:16">
      <c r="K1295" s="155"/>
      <c r="P1295" s="142"/>
    </row>
    <row r="1296" spans="11:16">
      <c r="K1296" s="155"/>
      <c r="P1296" s="142"/>
    </row>
    <row r="1297" spans="11:16">
      <c r="K1297" s="155"/>
      <c r="P1297" s="142"/>
    </row>
    <row r="1298" spans="11:16">
      <c r="K1298" s="155"/>
      <c r="P1298" s="142"/>
    </row>
    <row r="1299" spans="11:16">
      <c r="K1299" s="155"/>
      <c r="P1299" s="142"/>
    </row>
    <row r="1300" spans="11:16">
      <c r="K1300" s="155"/>
      <c r="P1300" s="142"/>
    </row>
    <row r="1301" spans="11:16">
      <c r="K1301" s="155"/>
      <c r="P1301" s="142"/>
    </row>
    <row r="1302" spans="11:16">
      <c r="K1302" s="155"/>
      <c r="P1302" s="142"/>
    </row>
    <row r="1303" spans="11:16">
      <c r="K1303" s="155"/>
      <c r="P1303" s="142"/>
    </row>
    <row r="1304" spans="11:16">
      <c r="K1304" s="155"/>
      <c r="P1304" s="142"/>
    </row>
    <row r="1305" spans="11:16">
      <c r="K1305" s="155"/>
      <c r="P1305" s="142"/>
    </row>
    <row r="1306" spans="11:16">
      <c r="K1306" s="155"/>
      <c r="P1306" s="142"/>
    </row>
    <row r="1307" spans="11:16">
      <c r="K1307" s="155"/>
      <c r="P1307" s="142"/>
    </row>
    <row r="1308" spans="11:16">
      <c r="K1308" s="155"/>
      <c r="P1308" s="142"/>
    </row>
    <row r="1309" spans="11:16">
      <c r="K1309" s="155"/>
      <c r="P1309" s="142"/>
    </row>
    <row r="1310" spans="11:16">
      <c r="K1310" s="155"/>
      <c r="P1310" s="142"/>
    </row>
    <row r="1311" spans="11:16">
      <c r="K1311" s="155"/>
      <c r="P1311" s="142"/>
    </row>
    <row r="1312" spans="11:16">
      <c r="K1312" s="155"/>
      <c r="P1312" s="142"/>
    </row>
    <row r="1313" spans="11:16">
      <c r="K1313" s="155"/>
      <c r="P1313" s="142"/>
    </row>
    <row r="1314" spans="11:16">
      <c r="K1314" s="155"/>
      <c r="P1314" s="142"/>
    </row>
    <row r="1315" spans="11:16">
      <c r="K1315" s="155"/>
      <c r="P1315" s="142"/>
    </row>
    <row r="1316" spans="11:16">
      <c r="K1316" s="155"/>
      <c r="P1316" s="142"/>
    </row>
    <row r="1317" spans="11:16">
      <c r="K1317" s="155"/>
      <c r="P1317" s="142"/>
    </row>
    <row r="1318" spans="11:16">
      <c r="K1318" s="155"/>
      <c r="P1318" s="142"/>
    </row>
    <row r="1319" spans="11:16">
      <c r="K1319" s="155"/>
      <c r="P1319" s="142"/>
    </row>
    <row r="1320" spans="11:16">
      <c r="K1320" s="155"/>
      <c r="P1320" s="142"/>
    </row>
    <row r="1321" spans="11:16">
      <c r="K1321" s="155"/>
      <c r="P1321" s="142"/>
    </row>
    <row r="1322" spans="11:16">
      <c r="K1322" s="155"/>
      <c r="P1322" s="142"/>
    </row>
    <row r="1323" spans="11:16">
      <c r="K1323" s="155"/>
      <c r="P1323" s="142"/>
    </row>
    <row r="1324" spans="11:16">
      <c r="K1324" s="155"/>
      <c r="P1324" s="142"/>
    </row>
    <row r="1325" spans="11:16">
      <c r="K1325" s="155"/>
      <c r="P1325" s="142"/>
    </row>
    <row r="1326" spans="11:16">
      <c r="K1326" s="155"/>
      <c r="P1326" s="142"/>
    </row>
    <row r="1327" spans="11:16">
      <c r="K1327" s="155"/>
      <c r="P1327" s="142"/>
    </row>
    <row r="1328" spans="11:16">
      <c r="K1328" s="155"/>
      <c r="P1328" s="142"/>
    </row>
    <row r="1329" spans="11:16">
      <c r="K1329" s="155"/>
      <c r="P1329" s="142"/>
    </row>
    <row r="1330" spans="11:16">
      <c r="K1330" s="155"/>
      <c r="P1330" s="142"/>
    </row>
    <row r="1331" spans="11:16">
      <c r="K1331" s="155"/>
      <c r="P1331" s="142"/>
    </row>
    <row r="1332" spans="11:16">
      <c r="K1332" s="155"/>
      <c r="P1332" s="142"/>
    </row>
    <row r="1333" spans="11:16">
      <c r="K1333" s="155"/>
      <c r="P1333" s="142"/>
    </row>
    <row r="1334" spans="11:16">
      <c r="K1334" s="155"/>
      <c r="P1334" s="142"/>
    </row>
    <row r="1335" spans="11:16">
      <c r="K1335" s="155"/>
      <c r="P1335" s="142"/>
    </row>
    <row r="1336" spans="11:16">
      <c r="K1336" s="155"/>
      <c r="P1336" s="142"/>
    </row>
    <row r="1337" spans="11:16">
      <c r="K1337" s="155"/>
      <c r="P1337" s="142"/>
    </row>
    <row r="1338" spans="11:16">
      <c r="K1338" s="155"/>
      <c r="P1338" s="142"/>
    </row>
    <row r="1339" spans="11:16">
      <c r="K1339" s="155"/>
      <c r="P1339" s="142"/>
    </row>
    <row r="1340" spans="11:16">
      <c r="K1340" s="155"/>
      <c r="P1340" s="142"/>
    </row>
    <row r="1341" spans="11:16">
      <c r="K1341" s="155"/>
      <c r="P1341" s="142"/>
    </row>
    <row r="1342" spans="11:16">
      <c r="K1342" s="155"/>
      <c r="P1342" s="142"/>
    </row>
    <row r="1343" spans="11:16">
      <c r="K1343" s="155"/>
      <c r="P1343" s="142"/>
    </row>
    <row r="1344" spans="11:16">
      <c r="K1344" s="155"/>
      <c r="P1344" s="142"/>
    </row>
    <row r="1345" spans="11:16">
      <c r="K1345" s="155"/>
      <c r="P1345" s="142"/>
    </row>
    <row r="1346" spans="11:16">
      <c r="K1346" s="155"/>
      <c r="P1346" s="142"/>
    </row>
    <row r="1347" spans="11:16">
      <c r="K1347" s="155"/>
      <c r="P1347" s="142"/>
    </row>
    <row r="1348" spans="11:16">
      <c r="K1348" s="155"/>
      <c r="P1348" s="142"/>
    </row>
    <row r="1349" spans="11:16">
      <c r="K1349" s="155"/>
      <c r="P1349" s="142"/>
    </row>
    <row r="1350" spans="11:16">
      <c r="K1350" s="155"/>
      <c r="P1350" s="142"/>
    </row>
    <row r="1351" spans="11:16">
      <c r="K1351" s="155"/>
      <c r="P1351" s="142"/>
    </row>
    <row r="1352" spans="11:16">
      <c r="K1352" s="155"/>
      <c r="P1352" s="142"/>
    </row>
    <row r="1353" spans="11:16">
      <c r="K1353" s="155"/>
      <c r="P1353" s="142"/>
    </row>
    <row r="1354" spans="11:16">
      <c r="K1354" s="155"/>
      <c r="P1354" s="142"/>
    </row>
    <row r="1355" spans="11:16">
      <c r="K1355" s="155"/>
      <c r="P1355" s="142"/>
    </row>
    <row r="1356" spans="11:16">
      <c r="K1356" s="155"/>
      <c r="P1356" s="142"/>
    </row>
    <row r="1357" spans="11:16">
      <c r="K1357" s="155"/>
      <c r="P1357" s="142"/>
    </row>
    <row r="1358" spans="11:16">
      <c r="K1358" s="155"/>
      <c r="P1358" s="142"/>
    </row>
    <row r="1359" spans="11:16">
      <c r="K1359" s="155"/>
      <c r="P1359" s="142"/>
    </row>
    <row r="1360" spans="11:16">
      <c r="K1360" s="155"/>
      <c r="P1360" s="142"/>
    </row>
    <row r="1361" spans="11:16">
      <c r="K1361" s="155"/>
      <c r="P1361" s="142"/>
    </row>
    <row r="1362" spans="11:16">
      <c r="K1362" s="155"/>
      <c r="P1362" s="142"/>
    </row>
    <row r="1363" spans="11:16">
      <c r="K1363" s="155"/>
      <c r="P1363" s="142"/>
    </row>
    <row r="1364" spans="11:16">
      <c r="K1364" s="155"/>
      <c r="P1364" s="142"/>
    </row>
    <row r="1365" spans="11:16">
      <c r="K1365" s="155"/>
      <c r="P1365" s="142"/>
    </row>
    <row r="1366" spans="11:16">
      <c r="K1366" s="155"/>
      <c r="P1366" s="142"/>
    </row>
    <row r="1367" spans="11:16">
      <c r="K1367" s="155"/>
      <c r="P1367" s="142"/>
    </row>
    <row r="1368" spans="11:16">
      <c r="K1368" s="155"/>
      <c r="P1368" s="142"/>
    </row>
    <row r="1369" spans="11:16">
      <c r="K1369" s="155"/>
      <c r="P1369" s="142"/>
    </row>
    <row r="1370" spans="11:16">
      <c r="K1370" s="155"/>
      <c r="P1370" s="142"/>
    </row>
    <row r="1371" spans="11:16">
      <c r="K1371" s="155"/>
      <c r="P1371" s="142"/>
    </row>
    <row r="1372" spans="11:16">
      <c r="K1372" s="155"/>
      <c r="P1372" s="142"/>
    </row>
    <row r="1373" spans="11:16">
      <c r="K1373" s="155"/>
      <c r="P1373" s="142"/>
    </row>
    <row r="1374" spans="11:16">
      <c r="K1374" s="155"/>
      <c r="P1374" s="142"/>
    </row>
    <row r="1375" spans="11:16">
      <c r="K1375" s="155"/>
      <c r="P1375" s="142"/>
    </row>
    <row r="1376" spans="11:16">
      <c r="K1376" s="155"/>
      <c r="P1376" s="142"/>
    </row>
    <row r="1377" spans="11:16">
      <c r="K1377" s="155"/>
      <c r="P1377" s="142"/>
    </row>
    <row r="1378" spans="11:16">
      <c r="K1378" s="155"/>
      <c r="P1378" s="142"/>
    </row>
    <row r="1379" spans="11:16">
      <c r="K1379" s="155"/>
      <c r="P1379" s="142"/>
    </row>
    <row r="1380" spans="11:16">
      <c r="K1380" s="155"/>
      <c r="P1380" s="142"/>
    </row>
    <row r="1381" spans="11:16">
      <c r="K1381" s="155"/>
      <c r="P1381" s="142"/>
    </row>
    <row r="1382" spans="11:16">
      <c r="K1382" s="155"/>
      <c r="P1382" s="142"/>
    </row>
    <row r="1383" spans="11:16">
      <c r="K1383" s="155"/>
      <c r="P1383" s="142"/>
    </row>
    <row r="1384" spans="11:16">
      <c r="K1384" s="155"/>
      <c r="P1384" s="142"/>
    </row>
    <row r="1385" spans="11:16">
      <c r="K1385" s="155"/>
      <c r="P1385" s="142"/>
    </row>
    <row r="1386" spans="11:16">
      <c r="K1386" s="155"/>
      <c r="P1386" s="142"/>
    </row>
    <row r="1387" spans="11:16">
      <c r="K1387" s="155"/>
      <c r="P1387" s="142"/>
    </row>
    <row r="1388" spans="11:16">
      <c r="K1388" s="155"/>
      <c r="P1388" s="142"/>
    </row>
    <row r="1389" spans="11:16">
      <c r="K1389" s="155"/>
      <c r="P1389" s="142"/>
    </row>
    <row r="1390" spans="11:16">
      <c r="K1390" s="155"/>
      <c r="P1390" s="142"/>
    </row>
    <row r="1391" spans="11:16">
      <c r="K1391" s="155"/>
      <c r="P1391" s="142"/>
    </row>
    <row r="1392" spans="11:16">
      <c r="K1392" s="155"/>
      <c r="P1392" s="142"/>
    </row>
    <row r="1393" spans="11:16">
      <c r="K1393" s="155"/>
      <c r="P1393" s="142"/>
    </row>
    <row r="1394" spans="11:16">
      <c r="K1394" s="155"/>
      <c r="P1394" s="142"/>
    </row>
    <row r="1395" spans="11:16">
      <c r="K1395" s="155"/>
      <c r="P1395" s="142"/>
    </row>
    <row r="1396" spans="11:16">
      <c r="K1396" s="155"/>
      <c r="P1396" s="142"/>
    </row>
    <row r="1397" spans="11:16">
      <c r="K1397" s="155"/>
      <c r="P1397" s="142"/>
    </row>
    <row r="1398" spans="11:16">
      <c r="K1398" s="155"/>
      <c r="P1398" s="142"/>
    </row>
    <row r="1399" spans="11:16">
      <c r="K1399" s="155"/>
      <c r="P1399" s="142"/>
    </row>
    <row r="1400" spans="11:16">
      <c r="K1400" s="155"/>
      <c r="P1400" s="142"/>
    </row>
    <row r="1401" spans="11:16">
      <c r="K1401" s="155"/>
      <c r="P1401" s="142"/>
    </row>
    <row r="1402" spans="11:16">
      <c r="K1402" s="155"/>
      <c r="P1402" s="142"/>
    </row>
    <row r="1403" spans="11:16">
      <c r="K1403" s="155"/>
      <c r="P1403" s="142"/>
    </row>
    <row r="1404" spans="11:16">
      <c r="K1404" s="155"/>
      <c r="P1404" s="142"/>
    </row>
    <row r="1405" spans="11:16">
      <c r="K1405" s="155"/>
      <c r="P1405" s="142"/>
    </row>
    <row r="1406" spans="11:16">
      <c r="K1406" s="155"/>
      <c r="P1406" s="142"/>
    </row>
    <row r="1407" spans="11:16">
      <c r="K1407" s="155"/>
      <c r="P1407" s="142"/>
    </row>
    <row r="1408" spans="11:16">
      <c r="K1408" s="155"/>
      <c r="P1408" s="142"/>
    </row>
    <row r="1409" spans="11:16">
      <c r="K1409" s="155"/>
      <c r="P1409" s="142"/>
    </row>
    <row r="1410" spans="11:16">
      <c r="K1410" s="155"/>
      <c r="P1410" s="142"/>
    </row>
    <row r="1411" spans="11:16">
      <c r="K1411" s="155"/>
      <c r="P1411" s="142"/>
    </row>
    <row r="1412" spans="11:16">
      <c r="K1412" s="155"/>
      <c r="P1412" s="142"/>
    </row>
    <row r="1413" spans="11:16">
      <c r="K1413" s="155"/>
      <c r="P1413" s="142"/>
    </row>
    <row r="1414" spans="11:16">
      <c r="K1414" s="155"/>
      <c r="P1414" s="142"/>
    </row>
    <row r="1415" spans="11:16">
      <c r="K1415" s="155"/>
      <c r="P1415" s="142"/>
    </row>
    <row r="1416" spans="11:16">
      <c r="K1416" s="155"/>
      <c r="P1416" s="142"/>
    </row>
    <row r="1417" spans="11:16">
      <c r="K1417" s="155"/>
      <c r="P1417" s="142"/>
    </row>
    <row r="1418" spans="11:16">
      <c r="K1418" s="155"/>
      <c r="P1418" s="142"/>
    </row>
    <row r="1419" spans="11:16">
      <c r="K1419" s="155"/>
      <c r="P1419" s="142"/>
    </row>
    <row r="1420" spans="11:16">
      <c r="K1420" s="155"/>
      <c r="P1420" s="142"/>
    </row>
    <row r="1421" spans="11:16">
      <c r="K1421" s="155"/>
      <c r="P1421" s="142"/>
    </row>
    <row r="1422" spans="11:16">
      <c r="K1422" s="155"/>
      <c r="P1422" s="142"/>
    </row>
    <row r="1423" spans="11:16">
      <c r="K1423" s="155"/>
      <c r="P1423" s="142"/>
    </row>
    <row r="1424" spans="11:16">
      <c r="K1424" s="155"/>
      <c r="P1424" s="142"/>
    </row>
    <row r="1425" spans="11:16">
      <c r="K1425" s="155"/>
      <c r="P1425" s="142"/>
    </row>
    <row r="1426" spans="11:16">
      <c r="K1426" s="155"/>
      <c r="P1426" s="142"/>
    </row>
    <row r="1427" spans="11:16">
      <c r="K1427" s="155"/>
      <c r="P1427" s="142"/>
    </row>
    <row r="1428" spans="11:16">
      <c r="K1428" s="155"/>
      <c r="P1428" s="142"/>
    </row>
    <row r="1429" spans="11:16">
      <c r="K1429" s="155"/>
      <c r="P1429" s="142"/>
    </row>
    <row r="1430" spans="11:16">
      <c r="K1430" s="155"/>
      <c r="P1430" s="142"/>
    </row>
    <row r="1431" spans="11:16">
      <c r="K1431" s="155"/>
      <c r="P1431" s="142"/>
    </row>
    <row r="1432" spans="11:16">
      <c r="K1432" s="155"/>
      <c r="P1432" s="142"/>
    </row>
    <row r="1433" spans="11:16">
      <c r="K1433" s="155"/>
      <c r="P1433" s="142"/>
    </row>
    <row r="1434" spans="11:16">
      <c r="K1434" s="155"/>
      <c r="P1434" s="142"/>
    </row>
    <row r="1435" spans="11:16">
      <c r="K1435" s="155"/>
      <c r="P1435" s="142"/>
    </row>
    <row r="1436" spans="11:16">
      <c r="K1436" s="155"/>
      <c r="P1436" s="142"/>
    </row>
    <row r="1437" spans="11:16">
      <c r="K1437" s="155"/>
      <c r="P1437" s="142"/>
    </row>
    <row r="1438" spans="11:16">
      <c r="K1438" s="155"/>
      <c r="P1438" s="142"/>
    </row>
    <row r="1439" spans="11:16">
      <c r="K1439" s="155"/>
      <c r="P1439" s="142"/>
    </row>
    <row r="1440" spans="11:16">
      <c r="K1440" s="155"/>
      <c r="P1440" s="142"/>
    </row>
    <row r="1441" spans="11:16">
      <c r="K1441" s="155"/>
      <c r="P1441" s="142"/>
    </row>
    <row r="1442" spans="11:16">
      <c r="K1442" s="155"/>
      <c r="P1442" s="142"/>
    </row>
    <row r="1443" spans="11:16">
      <c r="K1443" s="155"/>
      <c r="P1443" s="142"/>
    </row>
    <row r="1444" spans="11:16">
      <c r="K1444" s="155"/>
      <c r="P1444" s="142"/>
    </row>
    <row r="1445" spans="11:16">
      <c r="K1445" s="155"/>
      <c r="P1445" s="142"/>
    </row>
    <row r="1446" spans="11:16">
      <c r="K1446" s="155"/>
      <c r="P1446" s="142"/>
    </row>
    <row r="1447" spans="11:16">
      <c r="K1447" s="155"/>
      <c r="P1447" s="142"/>
    </row>
    <row r="1448" spans="11:16">
      <c r="K1448" s="155"/>
      <c r="P1448" s="142"/>
    </row>
    <row r="1449" spans="11:16">
      <c r="K1449" s="155"/>
      <c r="P1449" s="142"/>
    </row>
    <row r="1450" spans="11:16">
      <c r="K1450" s="155"/>
      <c r="P1450" s="142"/>
    </row>
    <row r="1451" spans="11:16">
      <c r="K1451" s="155"/>
      <c r="P1451" s="142"/>
    </row>
    <row r="1452" spans="11:16">
      <c r="K1452" s="155"/>
      <c r="P1452" s="142"/>
    </row>
    <row r="1453" spans="11:16">
      <c r="K1453" s="155"/>
      <c r="P1453" s="142"/>
    </row>
    <row r="1454" spans="11:16">
      <c r="K1454" s="155"/>
      <c r="P1454" s="142"/>
    </row>
    <row r="1455" spans="11:16">
      <c r="K1455" s="155"/>
      <c r="P1455" s="142"/>
    </row>
    <row r="1456" spans="11:16">
      <c r="K1456" s="155"/>
      <c r="P1456" s="142"/>
    </row>
    <row r="1457" spans="11:16">
      <c r="K1457" s="155"/>
      <c r="P1457" s="142"/>
    </row>
    <row r="1458" spans="11:16">
      <c r="K1458" s="155"/>
      <c r="P1458" s="142"/>
    </row>
    <row r="1459" spans="11:16">
      <c r="K1459" s="155"/>
      <c r="P1459" s="142"/>
    </row>
    <row r="1460" spans="11:16">
      <c r="K1460" s="155"/>
      <c r="P1460" s="142"/>
    </row>
    <row r="1461" spans="11:16">
      <c r="K1461" s="155"/>
      <c r="P1461" s="142"/>
    </row>
    <row r="1462" spans="11:16">
      <c r="K1462" s="155"/>
      <c r="P1462" s="142"/>
    </row>
    <row r="1463" spans="11:16">
      <c r="K1463" s="155"/>
      <c r="P1463" s="142"/>
    </row>
    <row r="1464" spans="11:16">
      <c r="K1464" s="155"/>
      <c r="P1464" s="142"/>
    </row>
    <row r="1465" spans="11:16">
      <c r="K1465" s="155"/>
      <c r="P1465" s="142"/>
    </row>
    <row r="1466" spans="11:16">
      <c r="K1466" s="155"/>
      <c r="P1466" s="142"/>
    </row>
    <row r="1467" spans="11:16">
      <c r="K1467" s="155"/>
      <c r="P1467" s="142"/>
    </row>
    <row r="1468" spans="11:16">
      <c r="K1468" s="155"/>
      <c r="P1468" s="142"/>
    </row>
    <row r="1469" spans="11:16">
      <c r="K1469" s="155"/>
      <c r="P1469" s="142"/>
    </row>
    <row r="1470" spans="11:16">
      <c r="K1470" s="155"/>
      <c r="P1470" s="142"/>
    </row>
    <row r="1471" spans="11:16">
      <c r="K1471" s="155"/>
      <c r="P1471" s="142"/>
    </row>
    <row r="1472" spans="11:16">
      <c r="K1472" s="155"/>
      <c r="P1472" s="142"/>
    </row>
    <row r="1473" spans="11:16">
      <c r="K1473" s="155"/>
      <c r="P1473" s="142"/>
    </row>
    <row r="1474" spans="11:16">
      <c r="K1474" s="155"/>
      <c r="P1474" s="142"/>
    </row>
    <row r="1475" spans="11:16">
      <c r="K1475" s="155"/>
      <c r="P1475" s="142"/>
    </row>
    <row r="1476" spans="11:16">
      <c r="K1476" s="155"/>
      <c r="P1476" s="142"/>
    </row>
    <row r="1477" spans="11:16">
      <c r="K1477" s="155"/>
      <c r="P1477" s="142"/>
    </row>
    <row r="1478" spans="11:16">
      <c r="K1478" s="155"/>
      <c r="P1478" s="142"/>
    </row>
    <row r="1479" spans="11:16">
      <c r="K1479" s="155"/>
      <c r="P1479" s="142"/>
    </row>
    <row r="1480" spans="11:16">
      <c r="K1480" s="155"/>
      <c r="P1480" s="142"/>
    </row>
    <row r="1481" spans="11:16">
      <c r="K1481" s="155"/>
      <c r="P1481" s="142"/>
    </row>
    <row r="1482" spans="11:16">
      <c r="K1482" s="155"/>
      <c r="P1482" s="142"/>
    </row>
    <row r="1483" spans="11:16">
      <c r="K1483" s="155"/>
      <c r="P1483" s="142"/>
    </row>
    <row r="1484" spans="11:16">
      <c r="K1484" s="155"/>
      <c r="P1484" s="142"/>
    </row>
    <row r="1485" spans="11:16">
      <c r="K1485" s="155"/>
      <c r="P1485" s="142"/>
    </row>
    <row r="1486" spans="11:16">
      <c r="K1486" s="155"/>
      <c r="P1486" s="142"/>
    </row>
    <row r="1487" spans="11:16">
      <c r="K1487" s="155"/>
      <c r="P1487" s="142"/>
    </row>
    <row r="1488" spans="11:16">
      <c r="K1488" s="155"/>
      <c r="P1488" s="142"/>
    </row>
    <row r="1489" spans="11:16">
      <c r="K1489" s="155"/>
      <c r="P1489" s="142"/>
    </row>
    <row r="1490" spans="11:16">
      <c r="K1490" s="155"/>
      <c r="P1490" s="142"/>
    </row>
    <row r="1491" spans="11:16">
      <c r="K1491" s="155"/>
      <c r="P1491" s="142"/>
    </row>
    <row r="1492" spans="11:16">
      <c r="K1492" s="155"/>
      <c r="P1492" s="142"/>
    </row>
    <row r="1493" spans="11:16">
      <c r="K1493" s="155"/>
      <c r="P1493" s="142"/>
    </row>
    <row r="1494" spans="11:16">
      <c r="K1494" s="155"/>
      <c r="P1494" s="142"/>
    </row>
    <row r="1495" spans="11:16">
      <c r="K1495" s="155"/>
      <c r="P1495" s="142"/>
    </row>
    <row r="1496" spans="11:16">
      <c r="K1496" s="155"/>
      <c r="P1496" s="142"/>
    </row>
    <row r="1497" spans="11:16">
      <c r="K1497" s="155"/>
      <c r="P1497" s="142"/>
    </row>
    <row r="1498" spans="11:16">
      <c r="K1498" s="155"/>
      <c r="P1498" s="142"/>
    </row>
    <row r="1499" spans="11:16">
      <c r="K1499" s="155"/>
      <c r="P1499" s="142"/>
    </row>
    <row r="1500" spans="11:16">
      <c r="K1500" s="155"/>
      <c r="P1500" s="142"/>
    </row>
    <row r="1501" spans="11:16">
      <c r="K1501" s="155"/>
      <c r="P1501" s="142"/>
    </row>
    <row r="1502" spans="11:16">
      <c r="K1502" s="155"/>
      <c r="P1502" s="142"/>
    </row>
    <row r="1503" spans="11:16">
      <c r="K1503" s="155"/>
      <c r="P1503" s="142"/>
    </row>
    <row r="1504" spans="11:16">
      <c r="K1504" s="155"/>
      <c r="P1504" s="142"/>
    </row>
    <row r="1505" spans="11:16">
      <c r="K1505" s="155"/>
      <c r="P1505" s="142"/>
    </row>
    <row r="1506" spans="11:16">
      <c r="K1506" s="155"/>
      <c r="P1506" s="142"/>
    </row>
    <row r="1507" spans="11:16">
      <c r="K1507" s="155"/>
      <c r="P1507" s="142"/>
    </row>
    <row r="1508" spans="11:16">
      <c r="K1508" s="155"/>
      <c r="P1508" s="142"/>
    </row>
    <row r="1509" spans="11:16">
      <c r="K1509" s="155"/>
      <c r="P1509" s="142"/>
    </row>
    <row r="1510" spans="11:16">
      <c r="K1510" s="155"/>
      <c r="P1510" s="142"/>
    </row>
    <row r="1511" spans="11:16">
      <c r="K1511" s="155"/>
      <c r="P1511" s="142"/>
    </row>
    <row r="1512" spans="11:16">
      <c r="K1512" s="155"/>
      <c r="P1512" s="142"/>
    </row>
    <row r="1513" spans="11:16">
      <c r="K1513" s="155"/>
      <c r="P1513" s="142"/>
    </row>
    <row r="1514" spans="11:16">
      <c r="K1514" s="155"/>
      <c r="P1514" s="142"/>
    </row>
    <row r="1515" spans="11:16">
      <c r="K1515" s="155"/>
      <c r="P1515" s="142"/>
    </row>
    <row r="1516" spans="11:16">
      <c r="K1516" s="155"/>
      <c r="P1516" s="142"/>
    </row>
    <row r="1517" spans="11:16">
      <c r="K1517" s="155"/>
      <c r="P1517" s="142"/>
    </row>
    <row r="1518" spans="11:16">
      <c r="K1518" s="155"/>
      <c r="P1518" s="142"/>
    </row>
    <row r="1519" spans="11:16">
      <c r="K1519" s="155"/>
      <c r="P1519" s="142"/>
    </row>
    <row r="1520" spans="11:16">
      <c r="K1520" s="155"/>
      <c r="P1520" s="142"/>
    </row>
    <row r="1521" spans="11:16">
      <c r="K1521" s="155"/>
      <c r="P1521" s="142"/>
    </row>
    <row r="1522" spans="11:16">
      <c r="K1522" s="155"/>
      <c r="P1522" s="142"/>
    </row>
    <row r="1523" spans="11:16">
      <c r="K1523" s="155"/>
      <c r="P1523" s="142"/>
    </row>
    <row r="1524" spans="11:16">
      <c r="K1524" s="155"/>
      <c r="P1524" s="142"/>
    </row>
    <row r="1525" spans="11:16">
      <c r="K1525" s="155"/>
      <c r="P1525" s="142"/>
    </row>
    <row r="1526" spans="11:16">
      <c r="K1526" s="155"/>
      <c r="P1526" s="142"/>
    </row>
    <row r="1527" spans="11:16">
      <c r="K1527" s="155"/>
      <c r="P1527" s="142"/>
    </row>
    <row r="1528" spans="11:16">
      <c r="K1528" s="155"/>
      <c r="P1528" s="142"/>
    </row>
    <row r="1529" spans="11:16">
      <c r="K1529" s="155"/>
      <c r="P1529" s="142"/>
    </row>
    <row r="1530" spans="11:16">
      <c r="K1530" s="155"/>
      <c r="P1530" s="142"/>
    </row>
    <row r="1531" spans="11:16">
      <c r="K1531" s="155"/>
      <c r="P1531" s="142"/>
    </row>
    <row r="1532" spans="11:16">
      <c r="K1532" s="155"/>
      <c r="P1532" s="142"/>
    </row>
    <row r="1533" spans="11:16">
      <c r="K1533" s="155"/>
      <c r="P1533" s="142"/>
    </row>
    <row r="1534" spans="11:16">
      <c r="K1534" s="155"/>
      <c r="P1534" s="142"/>
    </row>
    <row r="1535" spans="11:16">
      <c r="K1535" s="155"/>
      <c r="P1535" s="142"/>
    </row>
    <row r="1536" spans="11:16">
      <c r="K1536" s="155"/>
      <c r="P1536" s="142"/>
    </row>
    <row r="1537" spans="11:16">
      <c r="K1537" s="155"/>
      <c r="P1537" s="142"/>
    </row>
    <row r="1538" spans="11:16">
      <c r="K1538" s="155"/>
      <c r="P1538" s="142"/>
    </row>
    <row r="1539" spans="11:16">
      <c r="K1539" s="155"/>
      <c r="P1539" s="142"/>
    </row>
    <row r="1540" spans="11:16">
      <c r="K1540" s="155"/>
      <c r="P1540" s="142"/>
    </row>
    <row r="1541" spans="11:16">
      <c r="K1541" s="155"/>
      <c r="P1541" s="142"/>
    </row>
    <row r="1542" spans="11:16">
      <c r="K1542" s="155"/>
      <c r="P1542" s="142"/>
    </row>
    <row r="1543" spans="11:16">
      <c r="K1543" s="155"/>
      <c r="P1543" s="142"/>
    </row>
    <row r="1544" spans="11:16">
      <c r="K1544" s="155"/>
      <c r="P1544" s="142"/>
    </row>
    <row r="1545" spans="11:16">
      <c r="K1545" s="155"/>
      <c r="P1545" s="142"/>
    </row>
    <row r="1546" spans="11:16">
      <c r="K1546" s="155"/>
      <c r="P1546" s="142"/>
    </row>
    <row r="1547" spans="11:16">
      <c r="K1547" s="155"/>
      <c r="P1547" s="142"/>
    </row>
    <row r="1548" spans="11:16">
      <c r="K1548" s="155"/>
    </row>
    <row r="1549" spans="11:16">
      <c r="K1549" s="155"/>
    </row>
    <row r="1550" spans="11:16">
      <c r="K1550" s="155"/>
    </row>
    <row r="1551" spans="11:16">
      <c r="K1551" s="155"/>
    </row>
  </sheetData>
  <hyperlinks>
    <hyperlink ref="A1" location="LIST_NHA" display="LIST"/>
  </hyperlinks>
  <pageMargins left="0.51181102362204722" right="0.35433070866141736" top="0.74803149606299213" bottom="0.74803149606299213" header="0.31496062992125984" footer="0.31496062992125984"/>
  <pageSetup paperSize="9" scale="60" orientation="portrait" r:id="rId1"/>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O888"/>
  <sheetViews>
    <sheetView tabSelected="1" view="pageBreakPreview" zoomScaleNormal="85" zoomScaleSheetLayoutView="100" workbookViewId="0">
      <pane ySplit="2" topLeftCell="A3" activePane="bottomLeft" state="frozen"/>
      <selection activeCell="J217" sqref="J217"/>
      <selection pane="bottomLeft" activeCell="M12" sqref="M12"/>
    </sheetView>
  </sheetViews>
  <sheetFormatPr defaultRowHeight="15"/>
  <cols>
    <col min="1" max="1" width="6" style="220" customWidth="1"/>
    <col min="2" max="2" width="6.25" style="220" customWidth="1"/>
    <col min="3" max="3" width="10.625" style="220" customWidth="1"/>
    <col min="4" max="4" width="9.25" style="220" customWidth="1"/>
    <col min="5" max="5" width="9" style="220"/>
    <col min="6" max="7" width="10.875" style="220" customWidth="1"/>
    <col min="8" max="9" width="9.25" style="220" customWidth="1"/>
    <col min="10" max="10" width="0" style="283" hidden="1" customWidth="1"/>
    <col min="11" max="11" width="11.375" style="220" customWidth="1"/>
    <col min="12" max="12" width="9" style="220"/>
    <col min="13" max="13" width="13.25" style="220" customWidth="1"/>
    <col min="14" max="16384" width="9" style="220"/>
  </cols>
  <sheetData>
    <row r="1" spans="1:15">
      <c r="A1" s="289" t="s">
        <v>1419</v>
      </c>
      <c r="B1" s="290" t="s">
        <v>1416</v>
      </c>
      <c r="C1" s="290" t="s">
        <v>1417</v>
      </c>
      <c r="D1" s="290" t="s">
        <v>1418</v>
      </c>
      <c r="E1" s="290" t="s">
        <v>1127</v>
      </c>
      <c r="F1" s="290" t="s">
        <v>1128</v>
      </c>
      <c r="G1" s="290" t="s">
        <v>1129</v>
      </c>
      <c r="H1" s="290" t="s">
        <v>1392</v>
      </c>
      <c r="I1" s="290" t="s">
        <v>1362</v>
      </c>
      <c r="J1" s="299"/>
      <c r="K1" s="296"/>
      <c r="L1" s="296"/>
      <c r="M1" s="302"/>
      <c r="N1" s="302"/>
      <c r="O1" s="302"/>
    </row>
    <row r="2" spans="1:15">
      <c r="A2" s="288" t="s">
        <v>1419</v>
      </c>
      <c r="B2" s="288">
        <v>2</v>
      </c>
      <c r="C2" s="288">
        <f>MHVL</f>
        <v>2</v>
      </c>
      <c r="D2" s="288">
        <f>B2</f>
        <v>2</v>
      </c>
      <c r="E2" s="288">
        <f>D2</f>
        <v>2</v>
      </c>
      <c r="F2" s="288">
        <f>E2</f>
        <v>2</v>
      </c>
      <c r="G2" s="288">
        <f>F2</f>
        <v>2</v>
      </c>
      <c r="H2" s="288">
        <f>MHVL</f>
        <v>2</v>
      </c>
      <c r="I2" s="288">
        <f>G2</f>
        <v>2</v>
      </c>
      <c r="J2" s="301"/>
      <c r="K2" s="300"/>
      <c r="L2" s="300"/>
      <c r="M2" s="300"/>
    </row>
    <row r="3" spans="1:15" customFormat="1" ht="16.5">
      <c r="A3" s="476" t="s">
        <v>1396</v>
      </c>
      <c r="B3" s="476"/>
      <c r="C3" s="476"/>
      <c r="D3" s="248"/>
      <c r="E3" s="476" t="s">
        <v>1174</v>
      </c>
      <c r="F3" s="476"/>
      <c r="G3" s="476"/>
      <c r="H3" s="476"/>
      <c r="I3" s="476"/>
      <c r="J3" s="284"/>
    </row>
    <row r="4" spans="1:15" customFormat="1" ht="18.75">
      <c r="A4" s="476" t="s">
        <v>1397</v>
      </c>
      <c r="B4" s="476"/>
      <c r="C4" s="476"/>
      <c r="D4" s="248"/>
      <c r="E4" s="477" t="s">
        <v>1176</v>
      </c>
      <c r="F4" s="477"/>
      <c r="G4" s="477"/>
      <c r="H4" s="477"/>
      <c r="I4" s="477"/>
      <c r="J4" s="284"/>
    </row>
    <row r="5" spans="1:15" customFormat="1" ht="16.5">
      <c r="A5" s="478" t="s">
        <v>1398</v>
      </c>
      <c r="B5" s="478"/>
      <c r="C5" s="478"/>
      <c r="J5" s="284"/>
    </row>
    <row r="6" spans="1:15" customFormat="1" ht="16.5">
      <c r="A6" s="280"/>
      <c r="B6" s="266"/>
      <c r="E6" s="492" t="str">
        <f>"Quan Hóa , ngày "&amp;VLOOKUP($J$45,VLDV,9,0)&amp;" tháng "&amp;VLOOKUP($J$45,VLDV,10,0)&amp;" năm 2014"</f>
        <v>Quan Hóa , ngày 26 tháng 08 năm 2014</v>
      </c>
      <c r="F6" s="492"/>
      <c r="G6" s="492"/>
      <c r="H6" s="492"/>
      <c r="I6" s="492"/>
      <c r="J6" s="284"/>
    </row>
    <row r="7" spans="1:15" customFormat="1" ht="6.75" customHeight="1">
      <c r="A7" s="280"/>
      <c r="J7" s="284"/>
    </row>
    <row r="8" spans="1:15" customFormat="1" ht="18.75">
      <c r="A8" s="470" t="str">
        <f>"PHIẾU YÊU CẦU SỐ: "&amp;VLOOKUP($J$45,VLDV,7,0)&amp;"/PYC"</f>
        <v>PHIẾU YÊU CẦU SỐ: 4/VLTH3PC/PYC</v>
      </c>
      <c r="B8" s="470"/>
      <c r="C8" s="470"/>
      <c r="D8" s="470"/>
      <c r="E8" s="470"/>
      <c r="F8" s="470"/>
      <c r="G8" s="470"/>
      <c r="H8" s="470"/>
      <c r="I8" s="470"/>
      <c r="J8" s="284"/>
    </row>
    <row r="9" spans="1:15" customFormat="1" ht="17.25">
      <c r="A9" s="471" t="str">
        <f>"("&amp;VLOOKUP($J$45,VLDV,4,0)&amp;")"</f>
        <v>(Vật liệu trước khi đổ bê tông giằng móng)</v>
      </c>
      <c r="B9" s="471"/>
      <c r="C9" s="471"/>
      <c r="D9" s="471"/>
      <c r="E9" s="471"/>
      <c r="F9" s="471"/>
      <c r="G9" s="471"/>
      <c r="H9" s="471"/>
      <c r="I9" s="471"/>
      <c r="J9" s="284"/>
    </row>
    <row r="10" spans="1:15" customFormat="1" ht="7.5" customHeight="1">
      <c r="A10" s="226"/>
      <c r="B10" s="220"/>
      <c r="J10" s="284"/>
    </row>
    <row r="11" spans="1:15" customFormat="1" ht="16.5">
      <c r="A11" s="224" t="s">
        <v>1179</v>
      </c>
      <c r="B11" s="266"/>
      <c r="J11" s="284"/>
    </row>
    <row r="12" spans="1:15" customFormat="1" ht="16.5">
      <c r="A12" s="224" t="s">
        <v>1412</v>
      </c>
      <c r="B12" s="266"/>
      <c r="J12" s="284"/>
    </row>
    <row r="13" spans="1:15" customFormat="1" ht="16.5">
      <c r="A13" s="224" t="s">
        <v>1399</v>
      </c>
      <c r="B13" s="220"/>
      <c r="J13" s="284"/>
    </row>
    <row r="14" spans="1:15" customFormat="1" ht="16.5">
      <c r="A14" s="224" t="s">
        <v>1400</v>
      </c>
      <c r="B14" s="220"/>
      <c r="J14" s="284"/>
    </row>
    <row r="15" spans="1:15" customFormat="1" ht="8.25" customHeight="1">
      <c r="A15" s="266"/>
      <c r="B15" s="220"/>
      <c r="J15" s="284"/>
    </row>
    <row r="16" spans="1:15" customFormat="1" ht="16.5">
      <c r="A16" s="224" t="s">
        <v>1401</v>
      </c>
      <c r="B16" s="220"/>
      <c r="C16" s="266" t="s">
        <v>1402</v>
      </c>
      <c r="J16" s="284"/>
    </row>
    <row r="17" spans="1:10" customFormat="1" ht="16.5">
      <c r="A17" s="220"/>
      <c r="B17" s="220"/>
      <c r="C17" s="266" t="s">
        <v>1403</v>
      </c>
      <c r="J17" s="284"/>
    </row>
    <row r="18" spans="1:10" customFormat="1" ht="6.75" customHeight="1">
      <c r="A18" s="277"/>
      <c r="B18" s="220"/>
      <c r="J18" s="284"/>
    </row>
    <row r="19" spans="1:10" customFormat="1" ht="49.5" customHeight="1">
      <c r="A19" s="473" t="s">
        <v>1420</v>
      </c>
      <c r="B19" s="473"/>
      <c r="C19" s="473"/>
      <c r="D19" s="473"/>
      <c r="E19" s="473"/>
      <c r="F19" s="473"/>
      <c r="G19" s="473"/>
      <c r="H19" s="473"/>
      <c r="I19" s="473"/>
      <c r="J19" s="284"/>
    </row>
    <row r="20" spans="1:10" customFormat="1" ht="16.5">
      <c r="A20" s="473" t="s">
        <v>1414</v>
      </c>
      <c r="B20" s="473"/>
      <c r="C20" s="473"/>
      <c r="D20" s="473"/>
      <c r="E20" s="473"/>
      <c r="F20" s="473"/>
      <c r="G20" s="473"/>
      <c r="H20" s="473"/>
      <c r="I20" s="473"/>
      <c r="J20" s="284"/>
    </row>
    <row r="21" spans="1:10" customFormat="1" ht="35.25" customHeight="1">
      <c r="A21" s="485" t="str">
        <f>"    "&amp;VLOOKUP($J$45,VLDV,4,0)&amp;", "&amp;VITRI&amp;", "&amp;DIEMTDC</f>
        <v xml:space="preserve">    Vật liệu trước khi đổ bê tông giằng móng, Nhà tiểu học 3 phòng, Điểm TĐC Pom Chốn</v>
      </c>
      <c r="B21" s="485"/>
      <c r="C21" s="485"/>
      <c r="D21" s="485"/>
      <c r="E21" s="485"/>
      <c r="F21" s="485"/>
      <c r="G21" s="485"/>
      <c r="H21" s="485"/>
      <c r="I21" s="485"/>
      <c r="J21" s="284"/>
    </row>
    <row r="22" spans="1:10" customFormat="1" ht="18.75" customHeight="1">
      <c r="A22" s="266" t="s">
        <v>1415</v>
      </c>
      <c r="B22" s="220"/>
      <c r="J22" s="284"/>
    </row>
    <row r="23" spans="1:10" customFormat="1" ht="18.75" customHeight="1">
      <c r="A23" s="266" t="str">
        <f>"     Thời gian: "&amp;VLOOKUP($J$45,VLDV,12,0)&amp;", ngày "&amp;VLOOKUP($J$45,VLDV,14,0)&amp;" tháng "&amp;VLOOKUP($J$45,VLDV,15,0)&amp;" năm 2014"</f>
        <v xml:space="preserve">     Thời gian: 08 giờ 00, ngày 27 tháng 08 năm 2014</v>
      </c>
      <c r="B23" s="220"/>
      <c r="J23" s="284"/>
    </row>
    <row r="24" spans="1:10" customFormat="1" ht="18.75" customHeight="1">
      <c r="A24" s="266" t="str">
        <f>"     Tại lô nhà "&amp;VITRI&amp;", "&amp;DIEMTDC</f>
        <v xml:space="preserve">     Tại lô nhà Nhà tiểu học 3 phòng, Điểm TĐC Pom Chốn</v>
      </c>
      <c r="B24" s="220"/>
      <c r="J24" s="284"/>
    </row>
    <row r="25" spans="1:10" customFormat="1" ht="16.5">
      <c r="A25" s="221" t="s">
        <v>1404</v>
      </c>
      <c r="B25" s="220"/>
      <c r="J25" s="284"/>
    </row>
    <row r="26" spans="1:10" customFormat="1" ht="16.5">
      <c r="A26" s="266"/>
      <c r="B26" s="220"/>
      <c r="J26" s="284"/>
    </row>
    <row r="27" spans="1:10" customFormat="1" ht="16.5">
      <c r="A27" s="278" t="s">
        <v>1405</v>
      </c>
      <c r="E27" s="478" t="s">
        <v>1408</v>
      </c>
      <c r="F27" s="478"/>
      <c r="G27" s="478"/>
      <c r="H27" s="478"/>
      <c r="J27" s="284"/>
    </row>
    <row r="28" spans="1:10" customFormat="1" ht="16.5">
      <c r="A28" s="279" t="s">
        <v>1406</v>
      </c>
      <c r="E28" s="478" t="s">
        <v>1409</v>
      </c>
      <c r="F28" s="478"/>
      <c r="G28" s="478"/>
      <c r="H28" s="478"/>
      <c r="J28" s="284"/>
    </row>
    <row r="29" spans="1:10" customFormat="1" ht="16.5">
      <c r="A29" s="279" t="s">
        <v>1407</v>
      </c>
      <c r="B29" s="224"/>
      <c r="J29" s="284"/>
    </row>
    <row r="30" spans="1:10" customFormat="1" ht="16.5">
      <c r="A30" s="232"/>
      <c r="B30" s="224"/>
      <c r="J30" s="284"/>
    </row>
    <row r="31" spans="1:10" customFormat="1" ht="16.5">
      <c r="A31" s="232"/>
      <c r="B31" s="224"/>
      <c r="J31" s="284"/>
    </row>
    <row r="32" spans="1:10" customFormat="1" ht="16.5">
      <c r="A32" s="232"/>
      <c r="B32" s="224"/>
      <c r="J32" s="284"/>
    </row>
    <row r="33" spans="1:10" customFormat="1" ht="14.25" customHeight="1">
      <c r="A33" s="232"/>
      <c r="E33" s="478" t="s">
        <v>1410</v>
      </c>
      <c r="F33" s="478"/>
      <c r="G33" s="478"/>
      <c r="H33" s="478"/>
      <c r="J33" s="284"/>
    </row>
    <row r="34" spans="1:10" customFormat="1" ht="16.5">
      <c r="A34" s="232"/>
      <c r="B34" s="224"/>
      <c r="J34" s="284"/>
    </row>
    <row r="35" spans="1:10" customFormat="1" ht="16.5">
      <c r="A35" s="224" t="s">
        <v>1411</v>
      </c>
      <c r="B35" s="220"/>
      <c r="J35" s="284"/>
    </row>
    <row r="36" spans="1:10" customFormat="1" ht="21" customHeight="1">
      <c r="A36" t="s">
        <v>1413</v>
      </c>
      <c r="J36" s="284"/>
    </row>
    <row r="37" spans="1:10" customFormat="1" ht="21" customHeight="1">
      <c r="A37" t="s">
        <v>1413</v>
      </c>
      <c r="J37" s="284"/>
    </row>
    <row r="38" spans="1:10" customFormat="1" ht="21" customHeight="1">
      <c r="A38" t="s">
        <v>1413</v>
      </c>
      <c r="J38" s="284"/>
    </row>
    <row r="39" spans="1:10" customFormat="1" ht="14.25">
      <c r="J39" s="284"/>
    </row>
    <row r="40" spans="1:10" customFormat="1" ht="14.25">
      <c r="A40" s="127"/>
      <c r="B40" s="127"/>
      <c r="C40" s="127"/>
      <c r="D40" s="127"/>
      <c r="E40" s="127"/>
      <c r="F40" s="127"/>
      <c r="G40" s="127"/>
      <c r="H40" s="127"/>
      <c r="I40" s="127"/>
      <c r="J40" s="284"/>
    </row>
    <row r="41" spans="1:10" ht="16.5">
      <c r="A41" s="475" t="s">
        <v>1173</v>
      </c>
      <c r="B41" s="475"/>
      <c r="C41" s="475"/>
      <c r="D41" s="475"/>
      <c r="E41" s="476" t="s">
        <v>1174</v>
      </c>
      <c r="F41" s="476"/>
      <c r="G41" s="476"/>
      <c r="H41" s="476"/>
      <c r="I41" s="476"/>
    </row>
    <row r="42" spans="1:10" ht="18.75">
      <c r="A42" s="475" t="s">
        <v>1175</v>
      </c>
      <c r="B42" s="475"/>
      <c r="C42" s="475"/>
      <c r="D42" s="475"/>
      <c r="E42" s="477" t="s">
        <v>1176</v>
      </c>
      <c r="F42" s="477"/>
      <c r="G42" s="477"/>
      <c r="H42" s="477"/>
      <c r="I42" s="477"/>
    </row>
    <row r="43" spans="1:10" ht="16.5">
      <c r="A43" s="478" t="s">
        <v>1177</v>
      </c>
      <c r="B43" s="478"/>
      <c r="C43" s="478"/>
      <c r="D43" s="478"/>
      <c r="G43" s="221"/>
    </row>
    <row r="44" spans="1:10" ht="18.75">
      <c r="A44" s="222"/>
      <c r="B44" s="222"/>
      <c r="F44" s="479" t="str">
        <f>"Quan Hóa , ngày "&amp;VLOOKUP($J$45,VLDV,14,0)&amp;" tháng "&amp;VLOOKUP($J$45,VLDV,15,0)&amp;" năm 2014"</f>
        <v>Quan Hóa , ngày 27 tháng 08 năm 2014</v>
      </c>
      <c r="G44" s="479"/>
      <c r="H44" s="479"/>
      <c r="I44" s="479"/>
    </row>
    <row r="45" spans="1:10" ht="19.5">
      <c r="A45" s="472" t="str">
        <f>"BIÊN BẢN SỐ: "&amp;VLOOKUP($J$45,VLDV,8,0)&amp;"/VLĐV"</f>
        <v>BIÊN BẢN SỐ: 4/VLTH3PC/VLĐV</v>
      </c>
      <c r="B45" s="472"/>
      <c r="C45" s="472"/>
      <c r="D45" s="472"/>
      <c r="E45" s="472"/>
      <c r="F45" s="472"/>
      <c r="G45" s="472"/>
      <c r="H45" s="472"/>
      <c r="I45" s="472"/>
      <c r="J45" s="283">
        <f>MHVL</f>
        <v>2</v>
      </c>
    </row>
    <row r="46" spans="1:10" ht="19.5">
      <c r="A46" s="472" t="s">
        <v>1178</v>
      </c>
      <c r="B46" s="472"/>
      <c r="C46" s="472"/>
      <c r="D46" s="472"/>
      <c r="E46" s="472"/>
      <c r="F46" s="472"/>
      <c r="G46" s="472"/>
      <c r="H46" s="472"/>
      <c r="I46" s="472"/>
    </row>
    <row r="47" spans="1:10" ht="8.25" customHeight="1">
      <c r="A47" s="223"/>
      <c r="B47" s="223"/>
    </row>
    <row r="48" spans="1:10" ht="21.75" customHeight="1">
      <c r="A48" s="224" t="s">
        <v>1179</v>
      </c>
      <c r="B48" s="224"/>
      <c r="D48" s="225"/>
    </row>
    <row r="49" spans="1:9" ht="21.75" customHeight="1">
      <c r="A49" s="224" t="s">
        <v>1180</v>
      </c>
      <c r="B49" s="224"/>
      <c r="D49" s="225"/>
    </row>
    <row r="50" spans="1:9" ht="21.75" customHeight="1">
      <c r="A50" s="224" t="s">
        <v>1181</v>
      </c>
      <c r="B50" s="224"/>
    </row>
    <row r="51" spans="1:9" ht="21.75" customHeight="1">
      <c r="A51" s="224" t="s">
        <v>1182</v>
      </c>
      <c r="B51" s="224"/>
    </row>
    <row r="52" spans="1:9" ht="8.25" customHeight="1">
      <c r="A52" s="224"/>
      <c r="B52" s="224"/>
    </row>
    <row r="53" spans="1:9" ht="16.5">
      <c r="A53" s="224" t="s">
        <v>1183</v>
      </c>
      <c r="B53" s="224"/>
    </row>
    <row r="54" spans="1:9" ht="32.25" customHeight="1">
      <c r="A54" s="473" t="str">
        <f>"- "&amp;VLOOKUP($J$45,VLDV,4,0)&amp;", "&amp;VITRI</f>
        <v>- Vật liệu trước khi đổ bê tông giằng móng, Nhà tiểu học 3 phòng</v>
      </c>
      <c r="B54" s="473"/>
      <c r="C54" s="473"/>
      <c r="D54" s="473"/>
      <c r="E54" s="473"/>
      <c r="F54" s="473"/>
      <c r="G54" s="473"/>
      <c r="H54" s="473"/>
      <c r="I54" s="473"/>
    </row>
    <row r="55" spans="1:9" ht="21.75" customHeight="1">
      <c r="A55" s="224" t="s">
        <v>1185</v>
      </c>
      <c r="B55" s="224"/>
    </row>
    <row r="56" spans="1:9" ht="21.75" customHeight="1">
      <c r="A56" s="226" t="s">
        <v>1186</v>
      </c>
      <c r="B56" s="226"/>
    </row>
    <row r="57" spans="1:9" ht="21.75" customHeight="1">
      <c r="A57" s="239" t="s">
        <v>1359</v>
      </c>
      <c r="B57" s="262" t="str">
        <f>TPCDT</f>
        <v>..........................................</v>
      </c>
      <c r="F57" s="262" t="str">
        <f>"Chức vụ: "&amp;CVCDT</f>
        <v>Chức vụ: .................................</v>
      </c>
    </row>
    <row r="58" spans="1:9" ht="21.75" customHeight="1">
      <c r="A58" s="225" t="s">
        <v>1187</v>
      </c>
      <c r="B58" s="225"/>
      <c r="F58" s="351" t="s">
        <v>1188</v>
      </c>
    </row>
    <row r="59" spans="1:9" ht="21.75" customHeight="1">
      <c r="A59" s="226" t="s">
        <v>1189</v>
      </c>
      <c r="B59" s="226"/>
    </row>
    <row r="60" spans="1:9" ht="21.75" customHeight="1">
      <c r="A60" s="239" t="s">
        <v>1360</v>
      </c>
      <c r="B60" s="262" t="s">
        <v>1757</v>
      </c>
      <c r="F60" s="369" t="s">
        <v>1903</v>
      </c>
    </row>
    <row r="61" spans="1:9" ht="21.75" customHeight="1">
      <c r="A61" s="370" t="s">
        <v>1360</v>
      </c>
      <c r="B61" s="369" t="s">
        <v>1902</v>
      </c>
      <c r="F61" s="369" t="s">
        <v>1903</v>
      </c>
    </row>
    <row r="62" spans="1:9" ht="21.75" customHeight="1">
      <c r="A62" s="226" t="s">
        <v>1190</v>
      </c>
      <c r="B62" s="226"/>
    </row>
    <row r="63" spans="1:9" ht="21.75" customHeight="1">
      <c r="A63" s="225" t="s">
        <v>1359</v>
      </c>
      <c r="B63" s="319" t="str">
        <f>TPDVTC</f>
        <v>Lê Văn Thái</v>
      </c>
      <c r="F63" s="225" t="s">
        <v>1191</v>
      </c>
    </row>
    <row r="64" spans="1:9" ht="21.75" customHeight="1">
      <c r="A64" s="225" t="s">
        <v>1187</v>
      </c>
      <c r="B64" s="225"/>
      <c r="F64" s="225" t="s">
        <v>1188</v>
      </c>
    </row>
    <row r="65" spans="1:9" ht="9" customHeight="1">
      <c r="A65" s="225"/>
      <c r="B65" s="225"/>
      <c r="F65" s="225"/>
    </row>
    <row r="66" spans="1:9" ht="20.25" customHeight="1">
      <c r="A66" s="224" t="s">
        <v>1192</v>
      </c>
      <c r="B66" s="224"/>
    </row>
    <row r="67" spans="1:9" ht="20.25" customHeight="1">
      <c r="A67" s="225" t="str">
        <f>"Bắt đầu: "&amp;VLOOKUP($J$45,VLDV,12,0)&amp;", ngày "&amp;VLOOKUP($J$45,VLDV,14,0)&amp;" tháng "&amp;VLOOKUP($J$45,VLDV,15,0)&amp;" năm 2014"</f>
        <v>Bắt đầu: 08 giờ 00, ngày 27 tháng 08 năm 2014</v>
      </c>
      <c r="B67" s="225"/>
    </row>
    <row r="68" spans="1:9" ht="20.25" customHeight="1">
      <c r="A68" s="225" t="str">
        <f>"Kết thúc: "&amp;VLOOKUP($J$45,VLDV,13,0)&amp;", ngày "&amp;VLOOKUP($J$45,VLDV,14,0)&amp;" tháng "&amp;VLOOKUP($J$45,VLDV,15,0)&amp;" năm 2014"</f>
        <v>Kết thúc: 09 giờ 00, ngày 27 tháng 08 năm 2014</v>
      </c>
      <c r="B68" s="225"/>
    </row>
    <row r="69" spans="1:9" ht="20.25" customHeight="1">
      <c r="A69" s="225" t="str">
        <f>"Tại: "&amp;VITRI&amp;" - "&amp;DIEMTDC</f>
        <v>Tại: Nhà tiểu học 3 phòng - Điểm TĐC Pom Chốn</v>
      </c>
      <c r="B69" s="225"/>
    </row>
    <row r="70" spans="1:9" ht="9" customHeight="1">
      <c r="A70" s="225"/>
      <c r="B70" s="225"/>
    </row>
    <row r="71" spans="1:9" ht="20.25" customHeight="1">
      <c r="A71" s="224" t="s">
        <v>1193</v>
      </c>
      <c r="B71" s="224"/>
    </row>
    <row r="72" spans="1:9" ht="22.5" customHeight="1">
      <c r="A72" s="474" t="str">
        <f>"- Phiếu yêu cầu nghiệm thu của nhà thầu thi công số : "&amp;VLOOKUP($J$45,VLDV,8,0)&amp;"/PYC"</f>
        <v>- Phiếu yêu cầu nghiệm thu của nhà thầu thi công số : 4/VLTH3PC/PYC</v>
      </c>
      <c r="B72" s="474"/>
      <c r="C72" s="474"/>
      <c r="D72" s="474"/>
      <c r="E72" s="474"/>
      <c r="F72" s="474"/>
      <c r="G72" s="474"/>
      <c r="H72" s="474"/>
      <c r="I72" s="474"/>
    </row>
    <row r="73" spans="1:9" ht="37.5" customHeight="1">
      <c r="A73" s="473" t="s">
        <v>1184</v>
      </c>
      <c r="B73" s="473"/>
      <c r="C73" s="473"/>
      <c r="D73" s="473"/>
      <c r="E73" s="473"/>
      <c r="F73" s="473"/>
      <c r="G73" s="473"/>
      <c r="H73" s="473"/>
      <c r="I73" s="473"/>
    </row>
    <row r="74" spans="1:9" ht="22.5" customHeight="1">
      <c r="A74" s="474" t="s">
        <v>1194</v>
      </c>
      <c r="B74" s="474"/>
      <c r="C74" s="474"/>
      <c r="D74" s="474"/>
      <c r="E74" s="474"/>
      <c r="F74" s="474"/>
      <c r="G74" s="474"/>
      <c r="H74" s="474"/>
      <c r="I74" s="474"/>
    </row>
    <row r="75" spans="1:9" ht="33.75" customHeight="1">
      <c r="A75" s="473" t="s">
        <v>1195</v>
      </c>
      <c r="B75" s="473"/>
      <c r="C75" s="473"/>
      <c r="D75" s="473"/>
      <c r="E75" s="473"/>
      <c r="F75" s="473"/>
      <c r="G75" s="473"/>
      <c r="H75" s="473"/>
      <c r="I75" s="473"/>
    </row>
    <row r="76" spans="1:9" ht="22.5" customHeight="1">
      <c r="A76" s="474" t="s">
        <v>1196</v>
      </c>
      <c r="B76" s="474"/>
      <c r="C76" s="474"/>
      <c r="D76" s="474"/>
      <c r="E76" s="474"/>
      <c r="F76" s="474"/>
      <c r="G76" s="474"/>
      <c r="H76" s="474"/>
      <c r="I76" s="474"/>
    </row>
    <row r="77" spans="1:9" ht="16.5">
      <c r="A77" s="224" t="s">
        <v>1197</v>
      </c>
      <c r="B77" s="224"/>
    </row>
    <row r="78" spans="1:9" ht="9" customHeight="1">
      <c r="A78" s="227"/>
      <c r="B78" s="227"/>
    </row>
    <row r="79" spans="1:9" ht="45.75" customHeight="1">
      <c r="A79" s="495" t="s">
        <v>874</v>
      </c>
      <c r="B79" s="495" t="s">
        <v>1198</v>
      </c>
      <c r="C79" s="495"/>
      <c r="D79" s="495" t="s">
        <v>1199</v>
      </c>
      <c r="E79" s="495" t="s">
        <v>1200</v>
      </c>
      <c r="F79" s="495" t="s">
        <v>1201</v>
      </c>
      <c r="G79" s="495"/>
      <c r="H79" s="495" t="s">
        <v>1202</v>
      </c>
      <c r="I79" s="495"/>
    </row>
    <row r="80" spans="1:9" ht="31.5">
      <c r="A80" s="495"/>
      <c r="B80" s="495"/>
      <c r="C80" s="495"/>
      <c r="D80" s="495"/>
      <c r="E80" s="495"/>
      <c r="F80" s="495"/>
      <c r="G80" s="495"/>
      <c r="H80" s="228" t="s">
        <v>1203</v>
      </c>
      <c r="I80" s="228" t="s">
        <v>1204</v>
      </c>
    </row>
    <row r="81" spans="1:10" ht="15.75">
      <c r="A81" s="229">
        <v>1</v>
      </c>
      <c r="B81" s="483" t="s">
        <v>1205</v>
      </c>
      <c r="C81" s="483"/>
      <c r="D81" s="229" t="s">
        <v>1272</v>
      </c>
      <c r="E81" s="229">
        <f>VLOOKUP($J$45,VLDV,36,0)</f>
        <v>699.05</v>
      </c>
      <c r="F81" s="483" t="s">
        <v>1206</v>
      </c>
      <c r="G81" s="483"/>
      <c r="H81" s="249" t="s">
        <v>1230</v>
      </c>
      <c r="I81" s="229"/>
    </row>
    <row r="82" spans="1:10" ht="33" customHeight="1">
      <c r="A82" s="229">
        <v>2</v>
      </c>
      <c r="B82" s="483" t="s">
        <v>1207</v>
      </c>
      <c r="C82" s="483"/>
      <c r="D82" s="229" t="s">
        <v>1274</v>
      </c>
      <c r="E82" s="229">
        <f>VLOOKUP($J$45,VLDV,37,0)</f>
        <v>0.92</v>
      </c>
      <c r="F82" s="484" t="s">
        <v>1208</v>
      </c>
      <c r="G82" s="483"/>
      <c r="H82" s="249" t="s">
        <v>1230</v>
      </c>
      <c r="I82" s="229"/>
      <c r="J82" s="220"/>
    </row>
    <row r="83" spans="1:10" ht="33" customHeight="1">
      <c r="A83" s="229">
        <v>3</v>
      </c>
      <c r="B83" s="483" t="str">
        <f>VLOOKUP($J$45,VLDV,21,0)</f>
        <v>Đá 1x2cm</v>
      </c>
      <c r="C83" s="483"/>
      <c r="D83" s="229" t="s">
        <v>1274</v>
      </c>
      <c r="E83" s="229">
        <f>VLOOKUP($J$45,VLDV,38,0)</f>
        <v>1.78</v>
      </c>
      <c r="F83" s="484" t="s">
        <v>1208</v>
      </c>
      <c r="G83" s="483"/>
      <c r="H83" s="249" t="s">
        <v>1230</v>
      </c>
      <c r="I83" s="229"/>
    </row>
    <row r="84" spans="1:10" ht="33" customHeight="1">
      <c r="A84" s="229">
        <v>4</v>
      </c>
      <c r="B84" s="483" t="s">
        <v>886</v>
      </c>
      <c r="C84" s="483"/>
      <c r="D84" s="229" t="s">
        <v>1272</v>
      </c>
      <c r="E84" s="229">
        <f>VLOOKUP($J$45,VLDV,40,0)</f>
        <v>197.32</v>
      </c>
      <c r="F84" s="484" t="s">
        <v>1208</v>
      </c>
      <c r="G84" s="483"/>
      <c r="H84" s="406" t="str">
        <f>IF(E84=0,I83,H83)</f>
        <v>√</v>
      </c>
      <c r="I84" s="229"/>
    </row>
    <row r="85" spans="1:10" ht="22.5" customHeight="1">
      <c r="A85" s="474" t="s">
        <v>1210</v>
      </c>
      <c r="B85" s="474"/>
      <c r="C85" s="474"/>
      <c r="D85" s="474"/>
      <c r="E85" s="474"/>
      <c r="F85" s="474"/>
      <c r="G85" s="474"/>
      <c r="H85" s="474"/>
      <c r="I85" s="474"/>
    </row>
    <row r="86" spans="1:10" ht="8.25" customHeight="1">
      <c r="A86" s="225"/>
      <c r="B86" s="225"/>
      <c r="C86" s="225"/>
      <c r="D86" s="225"/>
      <c r="E86" s="225"/>
      <c r="F86" s="225"/>
      <c r="G86" s="225"/>
      <c r="H86" s="225"/>
      <c r="I86" s="225"/>
    </row>
    <row r="87" spans="1:10" ht="22.5" customHeight="1">
      <c r="A87" s="224" t="s">
        <v>1211</v>
      </c>
      <c r="B87" s="224"/>
    </row>
    <row r="88" spans="1:10" ht="22.5" customHeight="1">
      <c r="A88" s="225" t="s">
        <v>1212</v>
      </c>
      <c r="B88" s="225"/>
    </row>
    <row r="89" spans="1:10" ht="22.5" customHeight="1">
      <c r="A89" s="225" t="s">
        <v>1213</v>
      </c>
      <c r="B89" s="225"/>
    </row>
    <row r="90" spans="1:10" ht="22.5" customHeight="1">
      <c r="A90" s="225"/>
      <c r="B90" s="225"/>
    </row>
    <row r="91" spans="1:10" s="230" customFormat="1" ht="16.5" customHeight="1">
      <c r="A91" s="480" t="s">
        <v>1214</v>
      </c>
      <c r="B91" s="480"/>
      <c r="C91" s="480"/>
      <c r="D91" s="480"/>
      <c r="E91" s="480"/>
      <c r="F91" s="480"/>
      <c r="G91" s="480"/>
      <c r="H91" s="480"/>
      <c r="I91" s="480"/>
      <c r="J91" s="285"/>
    </row>
    <row r="92" spans="1:10" s="230" customFormat="1" ht="15.75">
      <c r="A92" s="480" t="s">
        <v>1170</v>
      </c>
      <c r="B92" s="480"/>
      <c r="C92" s="480"/>
      <c r="D92" s="480"/>
      <c r="E92" s="481" t="s">
        <v>872</v>
      </c>
      <c r="F92" s="481"/>
      <c r="G92" s="480" t="s">
        <v>1215</v>
      </c>
      <c r="H92" s="480"/>
      <c r="I92" s="480"/>
      <c r="J92" s="285"/>
    </row>
    <row r="93" spans="1:10" ht="16.5">
      <c r="A93" s="224"/>
      <c r="B93" s="224"/>
      <c r="C93" s="231"/>
      <c r="D93" s="224"/>
    </row>
    <row r="94" spans="1:10" ht="16.5">
      <c r="A94" s="224"/>
      <c r="B94" s="224"/>
      <c r="C94" s="231"/>
      <c r="D94" s="224"/>
    </row>
    <row r="95" spans="1:10" ht="16.5">
      <c r="A95" s="224"/>
      <c r="B95" s="224"/>
      <c r="C95" s="231"/>
      <c r="D95" s="224"/>
    </row>
    <row r="96" spans="1:10" ht="16.5">
      <c r="A96" s="224"/>
      <c r="B96" s="224"/>
      <c r="C96" s="231"/>
      <c r="D96" s="224"/>
    </row>
    <row r="97" spans="1:10" ht="16.5">
      <c r="A97" s="224"/>
      <c r="B97" s="224"/>
      <c r="C97" s="231"/>
      <c r="D97" s="224"/>
    </row>
    <row r="98" spans="1:10" s="230" customFormat="1" ht="15.75">
      <c r="A98" s="480" t="str">
        <f>TPCDT</f>
        <v>..........................................</v>
      </c>
      <c r="B98" s="480"/>
      <c r="C98" s="480"/>
      <c r="D98" s="480"/>
      <c r="E98" s="481" t="str">
        <f>TPTVGS</f>
        <v>..........................................</v>
      </c>
      <c r="F98" s="481"/>
      <c r="G98" s="480" t="str">
        <f>TPDVTC</f>
        <v>Lê Văn Thái</v>
      </c>
      <c r="H98" s="480"/>
      <c r="I98" s="480"/>
      <c r="J98" s="285"/>
    </row>
    <row r="99" spans="1:10" ht="16.5">
      <c r="A99" s="232"/>
      <c r="B99" s="232"/>
      <c r="C99" s="231"/>
      <c r="D99" s="224"/>
      <c r="J99" s="220"/>
    </row>
    <row r="100" spans="1:10" ht="16.5">
      <c r="A100" s="225"/>
      <c r="B100" s="225"/>
      <c r="J100" s="220"/>
    </row>
    <row r="117" spans="1:10">
      <c r="A117" s="248"/>
      <c r="B117" s="248"/>
      <c r="C117" s="248"/>
      <c r="D117" s="248"/>
      <c r="E117" s="248"/>
      <c r="F117" s="248"/>
      <c r="G117" s="248"/>
      <c r="H117" s="248"/>
      <c r="I117" s="248"/>
    </row>
    <row r="118" spans="1:10" customFormat="1" ht="16.5">
      <c r="A118" s="476" t="s">
        <v>1396</v>
      </c>
      <c r="B118" s="476"/>
      <c r="C118" s="476"/>
      <c r="D118" s="248"/>
      <c r="E118" s="476" t="s">
        <v>1174</v>
      </c>
      <c r="F118" s="476"/>
      <c r="G118" s="476"/>
      <c r="H118" s="476"/>
      <c r="I118" s="476"/>
      <c r="J118" s="284"/>
    </row>
    <row r="119" spans="1:10" customFormat="1" ht="18.75">
      <c r="A119" s="476" t="s">
        <v>1397</v>
      </c>
      <c r="B119" s="476"/>
      <c r="C119" s="476"/>
      <c r="D119" s="248"/>
      <c r="E119" s="477" t="s">
        <v>1176</v>
      </c>
      <c r="F119" s="477"/>
      <c r="G119" s="477"/>
      <c r="H119" s="477"/>
      <c r="I119" s="477"/>
      <c r="J119" s="284"/>
    </row>
    <row r="120" spans="1:10" customFormat="1" ht="16.5">
      <c r="A120" s="478" t="s">
        <v>1398</v>
      </c>
      <c r="B120" s="478"/>
      <c r="C120" s="478"/>
      <c r="J120" s="284"/>
    </row>
    <row r="121" spans="1:10" customFormat="1" ht="16.5">
      <c r="A121" s="280"/>
      <c r="B121" s="266"/>
      <c r="E121" s="492" t="str">
        <f>"Quan Hóa , ngày "&amp;VLOOKUP($J$160,NTCT,9,0)&amp;" tháng "&amp;VLOOKUP($J$160,NTCT,10,0)&amp;" năm 2014"</f>
        <v>Quan Hóa , ngày 26 tháng 08 năm 2014</v>
      </c>
      <c r="F121" s="492"/>
      <c r="G121" s="492"/>
      <c r="H121" s="492"/>
      <c r="I121" s="492"/>
      <c r="J121" s="284"/>
    </row>
    <row r="122" spans="1:10" customFormat="1" ht="6.75" customHeight="1">
      <c r="A122" s="280"/>
      <c r="J122" s="284"/>
    </row>
    <row r="123" spans="1:10" customFormat="1" ht="18.75">
      <c r="A123" s="470" t="str">
        <f>"PHIẾU YÊU CẦU SỐ: "&amp;VLOOKUP($J$160,NTCT,7,0)&amp;"/PYC"</f>
        <v>PHIẾU YÊU CẦU SỐ: 4/CTTH3PC/PYC</v>
      </c>
      <c r="B123" s="470"/>
      <c r="C123" s="470"/>
      <c r="D123" s="470"/>
      <c r="E123" s="470"/>
      <c r="F123" s="470"/>
      <c r="G123" s="470"/>
      <c r="H123" s="470"/>
      <c r="I123" s="470"/>
      <c r="J123" s="284"/>
    </row>
    <row r="124" spans="1:10" customFormat="1" ht="17.25">
      <c r="A124" s="471" t="str">
        <f>"("&amp;VLOOKUP($J$160,NTCT,4,0)&amp;")"</f>
        <v>(Nghiệm thu cốt thép giằng móng)</v>
      </c>
      <c r="B124" s="471"/>
      <c r="C124" s="471"/>
      <c r="D124" s="471"/>
      <c r="E124" s="471"/>
      <c r="F124" s="471"/>
      <c r="G124" s="471"/>
      <c r="H124" s="471"/>
      <c r="I124" s="471"/>
      <c r="J124" s="284"/>
    </row>
    <row r="125" spans="1:10" customFormat="1" ht="7.5" customHeight="1">
      <c r="A125" s="226"/>
      <c r="B125" s="220"/>
      <c r="J125" s="284"/>
    </row>
    <row r="126" spans="1:10" customFormat="1" ht="16.5">
      <c r="A126" s="224" t="s">
        <v>1179</v>
      </c>
      <c r="B126" s="266"/>
      <c r="J126" s="284"/>
    </row>
    <row r="127" spans="1:10" customFormat="1" ht="16.5">
      <c r="A127" s="224" t="s">
        <v>1412</v>
      </c>
      <c r="B127" s="266"/>
      <c r="J127" s="284"/>
    </row>
    <row r="128" spans="1:10" customFormat="1" ht="16.5">
      <c r="A128" s="224" t="s">
        <v>1399</v>
      </c>
      <c r="B128" s="220"/>
      <c r="J128" s="284"/>
    </row>
    <row r="129" spans="1:10" customFormat="1" ht="16.5">
      <c r="A129" s="224" t="s">
        <v>1400</v>
      </c>
      <c r="B129" s="220"/>
      <c r="J129" s="284"/>
    </row>
    <row r="130" spans="1:10" customFormat="1" ht="8.25" customHeight="1">
      <c r="A130" s="266"/>
      <c r="B130" s="220"/>
      <c r="J130" s="284"/>
    </row>
    <row r="131" spans="1:10" customFormat="1" ht="16.5">
      <c r="A131" s="224" t="s">
        <v>1401</v>
      </c>
      <c r="B131" s="220"/>
      <c r="C131" s="266" t="s">
        <v>1402</v>
      </c>
      <c r="J131" s="284"/>
    </row>
    <row r="132" spans="1:10" customFormat="1" ht="16.5">
      <c r="A132" s="220"/>
      <c r="B132" s="220"/>
      <c r="C132" s="266" t="s">
        <v>1403</v>
      </c>
      <c r="J132" s="284"/>
    </row>
    <row r="133" spans="1:10" customFormat="1" ht="6.75" customHeight="1">
      <c r="A133" s="277"/>
      <c r="B133" s="220"/>
      <c r="J133" s="284"/>
    </row>
    <row r="134" spans="1:10" customFormat="1" ht="49.5" customHeight="1">
      <c r="A134" s="473" t="s">
        <v>1420</v>
      </c>
      <c r="B134" s="473"/>
      <c r="C134" s="473"/>
      <c r="D134" s="473"/>
      <c r="E134" s="473"/>
      <c r="F134" s="473"/>
      <c r="G134" s="473"/>
      <c r="H134" s="473"/>
      <c r="I134" s="473"/>
      <c r="J134" s="284"/>
    </row>
    <row r="135" spans="1:10" customFormat="1" ht="16.5">
      <c r="A135" s="473" t="s">
        <v>1414</v>
      </c>
      <c r="B135" s="473"/>
      <c r="C135" s="473"/>
      <c r="D135" s="473"/>
      <c r="E135" s="473"/>
      <c r="F135" s="473"/>
      <c r="G135" s="473"/>
      <c r="H135" s="473"/>
      <c r="I135" s="473"/>
      <c r="J135" s="284"/>
    </row>
    <row r="136" spans="1:10" customFormat="1" ht="35.25" customHeight="1">
      <c r="A136" s="485" t="str">
        <f>"    "&amp;VLOOKUP($J$160,NTCT,4,0)&amp;", "&amp;VITRI&amp;", "&amp;DIEMTDC</f>
        <v xml:space="preserve">    Nghiệm thu cốt thép giằng móng, Nhà tiểu học 3 phòng, Điểm TĐC Pom Chốn</v>
      </c>
      <c r="B136" s="485"/>
      <c r="C136" s="485"/>
      <c r="D136" s="485"/>
      <c r="E136" s="485"/>
      <c r="F136" s="485"/>
      <c r="G136" s="485"/>
      <c r="H136" s="485"/>
      <c r="I136" s="485"/>
      <c r="J136" s="284"/>
    </row>
    <row r="137" spans="1:10" customFormat="1" ht="18.75" customHeight="1">
      <c r="A137" s="266" t="s">
        <v>1415</v>
      </c>
      <c r="B137" s="220"/>
      <c r="J137" s="284"/>
    </row>
    <row r="138" spans="1:10" customFormat="1" ht="18.75" customHeight="1">
      <c r="A138" s="266" t="str">
        <f>"     Thời gian: "&amp;VLOOKUP($J$160,NTCT,12,0)&amp;", ngày "&amp;VLOOKUP($J$160,NTCT,14,0)&amp;" tháng "&amp;VLOOKUP($J$160,NTCT,15,0)&amp;" năm 2014"</f>
        <v xml:space="preserve">     Thời gian: 09 giờ 00, ngày 27 tháng 08 năm 2014</v>
      </c>
      <c r="B138" s="220"/>
      <c r="J138" s="284"/>
    </row>
    <row r="139" spans="1:10" customFormat="1" ht="18.75" customHeight="1">
      <c r="A139" s="266" t="str">
        <f>"     Tại lô nhà "&amp;VITRI&amp;", "&amp;DIEMTDC</f>
        <v xml:space="preserve">     Tại lô nhà Nhà tiểu học 3 phòng, Điểm TĐC Pom Chốn</v>
      </c>
      <c r="B139" s="220"/>
      <c r="J139" s="284"/>
    </row>
    <row r="140" spans="1:10" customFormat="1" ht="16.5">
      <c r="A140" s="221" t="s">
        <v>1404</v>
      </c>
      <c r="B140" s="220"/>
      <c r="J140" s="284"/>
    </row>
    <row r="141" spans="1:10" customFormat="1" ht="16.5">
      <c r="A141" s="266"/>
      <c r="B141" s="220"/>
      <c r="J141" s="284"/>
    </row>
    <row r="142" spans="1:10" customFormat="1" ht="16.5">
      <c r="A142" s="278" t="s">
        <v>1405</v>
      </c>
      <c r="E142" s="478" t="s">
        <v>1408</v>
      </c>
      <c r="F142" s="478"/>
      <c r="G142" s="478"/>
      <c r="H142" s="478"/>
      <c r="J142" s="284"/>
    </row>
    <row r="143" spans="1:10" customFormat="1" ht="16.5">
      <c r="A143" s="279" t="s">
        <v>1406</v>
      </c>
      <c r="E143" s="478" t="s">
        <v>1409</v>
      </c>
      <c r="F143" s="478"/>
      <c r="G143" s="478"/>
      <c r="H143" s="478"/>
      <c r="J143" s="284"/>
    </row>
    <row r="144" spans="1:10" customFormat="1" ht="16.5">
      <c r="A144" s="279" t="s">
        <v>1407</v>
      </c>
      <c r="B144" s="224"/>
      <c r="J144" s="284"/>
    </row>
    <row r="145" spans="1:10" customFormat="1" ht="16.5">
      <c r="A145" s="232"/>
      <c r="B145" s="224"/>
      <c r="J145" s="284"/>
    </row>
    <row r="146" spans="1:10" customFormat="1" ht="16.5">
      <c r="A146" s="232"/>
      <c r="B146" s="224"/>
      <c r="J146" s="284"/>
    </row>
    <row r="147" spans="1:10" customFormat="1" ht="16.5">
      <c r="A147" s="232"/>
      <c r="B147" s="224"/>
      <c r="J147" s="284"/>
    </row>
    <row r="148" spans="1:10" customFormat="1" ht="14.25" customHeight="1">
      <c r="A148" s="232"/>
      <c r="E148" s="478" t="s">
        <v>1410</v>
      </c>
      <c r="F148" s="478"/>
      <c r="G148" s="478"/>
      <c r="H148" s="478"/>
      <c r="J148" s="284"/>
    </row>
    <row r="149" spans="1:10" customFormat="1" ht="16.5">
      <c r="A149" s="232"/>
      <c r="B149" s="224"/>
      <c r="J149" s="284"/>
    </row>
    <row r="150" spans="1:10" customFormat="1" ht="16.5">
      <c r="A150" s="224" t="s">
        <v>1411</v>
      </c>
      <c r="B150" s="220"/>
      <c r="J150" s="284"/>
    </row>
    <row r="151" spans="1:10" customFormat="1" ht="21" customHeight="1">
      <c r="A151" t="s">
        <v>1413</v>
      </c>
      <c r="J151" s="284"/>
    </row>
    <row r="152" spans="1:10" customFormat="1" ht="21" customHeight="1">
      <c r="A152" t="s">
        <v>1413</v>
      </c>
      <c r="J152" s="284"/>
    </row>
    <row r="153" spans="1:10" customFormat="1" ht="21" customHeight="1">
      <c r="A153" t="s">
        <v>1413</v>
      </c>
      <c r="J153" s="284"/>
    </row>
    <row r="154" spans="1:10" customFormat="1" ht="21" customHeight="1">
      <c r="J154" s="284"/>
    </row>
    <row r="155" spans="1:10" customFormat="1" ht="14.25">
      <c r="A155" s="127"/>
      <c r="B155" s="127"/>
      <c r="C155" s="127"/>
      <c r="D155" s="127"/>
      <c r="E155" s="127"/>
      <c r="F155" s="127"/>
      <c r="G155" s="127"/>
      <c r="H155" s="127"/>
      <c r="I155" s="127"/>
      <c r="J155" s="284"/>
    </row>
    <row r="156" spans="1:10" ht="16.5">
      <c r="A156" s="475" t="s">
        <v>1173</v>
      </c>
      <c r="B156" s="475"/>
      <c r="C156" s="475"/>
      <c r="D156" s="475"/>
      <c r="E156" s="476" t="s">
        <v>1174</v>
      </c>
      <c r="F156" s="476"/>
      <c r="G156" s="476"/>
      <c r="H156" s="476"/>
      <c r="I156" s="476"/>
    </row>
    <row r="157" spans="1:10" ht="18.75">
      <c r="A157" s="475" t="s">
        <v>1175</v>
      </c>
      <c r="B157" s="475"/>
      <c r="C157" s="475"/>
      <c r="D157" s="475"/>
      <c r="E157" s="477" t="s">
        <v>1176</v>
      </c>
      <c r="F157" s="477"/>
      <c r="G157" s="477"/>
      <c r="H157" s="477"/>
      <c r="I157" s="477"/>
    </row>
    <row r="158" spans="1:10" ht="16.5">
      <c r="A158" s="478" t="s">
        <v>1177</v>
      </c>
      <c r="B158" s="478"/>
      <c r="C158" s="478"/>
      <c r="D158" s="478"/>
      <c r="G158" s="221"/>
    </row>
    <row r="159" spans="1:10" ht="18.75">
      <c r="A159" s="222"/>
      <c r="B159" s="222"/>
      <c r="F159" s="479" t="str">
        <f>"Quan Hóa , ngày "&amp;VLOOKUP($J$160,NTCT,14,0)&amp;" tháng "&amp;VLOOKUP($J$160,NTCT,15,0)&amp;" năm 2014"</f>
        <v>Quan Hóa , ngày 27 tháng 08 năm 2014</v>
      </c>
      <c r="G159" s="479"/>
      <c r="H159" s="479"/>
      <c r="I159" s="479"/>
    </row>
    <row r="160" spans="1:10" ht="19.5">
      <c r="A160" s="472" t="str">
        <f>"BIÊN BẢN SỐ: "&amp;VLOOKUP($J$160,NTCT,8,0)&amp;"/NTCT"</f>
        <v>BIÊN BẢN SỐ: 4/CTTH3PC/NTCT</v>
      </c>
      <c r="B160" s="472"/>
      <c r="C160" s="472"/>
      <c r="D160" s="472"/>
      <c r="E160" s="472"/>
      <c r="F160" s="472"/>
      <c r="G160" s="472"/>
      <c r="H160" s="472"/>
      <c r="I160" s="472"/>
      <c r="J160" s="283">
        <f>MHCT</f>
        <v>2</v>
      </c>
    </row>
    <row r="161" spans="1:9" ht="19.5">
      <c r="A161" s="472" t="s">
        <v>1216</v>
      </c>
      <c r="B161" s="472"/>
      <c r="C161" s="472"/>
      <c r="D161" s="472"/>
      <c r="E161" s="472"/>
      <c r="F161" s="472"/>
      <c r="G161" s="472"/>
      <c r="H161" s="472"/>
      <c r="I161" s="472"/>
    </row>
    <row r="162" spans="1:9" ht="8.25" customHeight="1">
      <c r="A162" s="223"/>
      <c r="B162" s="223"/>
    </row>
    <row r="163" spans="1:9" ht="21.75" customHeight="1">
      <c r="A163" s="224" t="s">
        <v>1179</v>
      </c>
      <c r="B163" s="224"/>
      <c r="D163" s="225"/>
    </row>
    <row r="164" spans="1:9" ht="21.75" customHeight="1">
      <c r="A164" s="224" t="s">
        <v>1180</v>
      </c>
      <c r="B164" s="224"/>
      <c r="D164" s="225"/>
    </row>
    <row r="165" spans="1:9" ht="21.75" customHeight="1">
      <c r="A165" s="224" t="s">
        <v>1181</v>
      </c>
      <c r="B165" s="224"/>
    </row>
    <row r="166" spans="1:9" ht="21.75" customHeight="1">
      <c r="A166" s="224" t="s">
        <v>1182</v>
      </c>
      <c r="B166" s="224"/>
    </row>
    <row r="167" spans="1:9" ht="8.25" customHeight="1">
      <c r="A167" s="224"/>
      <c r="B167" s="224"/>
    </row>
    <row r="168" spans="1:9" ht="16.5">
      <c r="A168" s="224" t="s">
        <v>1183</v>
      </c>
      <c r="B168" s="224"/>
    </row>
    <row r="169" spans="1:9" ht="32.25" customHeight="1">
      <c r="A169" s="473" t="str">
        <f>"- "&amp;VLOOKUP($J$160,NTCT,4,0)&amp;", "&amp;VITRI</f>
        <v>- Nghiệm thu cốt thép giằng móng, Nhà tiểu học 3 phòng</v>
      </c>
      <c r="B169" s="473"/>
      <c r="C169" s="473"/>
      <c r="D169" s="473"/>
      <c r="E169" s="473"/>
      <c r="F169" s="473"/>
      <c r="G169" s="473"/>
      <c r="H169" s="473"/>
      <c r="I169" s="473"/>
    </row>
    <row r="170" spans="1:9" ht="20.25" customHeight="1">
      <c r="A170" s="224" t="s">
        <v>1185</v>
      </c>
      <c r="B170" s="224"/>
    </row>
    <row r="171" spans="1:9" ht="20.25" customHeight="1">
      <c r="A171" s="226" t="s">
        <v>1186</v>
      </c>
      <c r="B171" s="226"/>
    </row>
    <row r="172" spans="1:9" ht="17.25" customHeight="1">
      <c r="A172" s="239" t="s">
        <v>1359</v>
      </c>
      <c r="B172" s="262" t="str">
        <f>TPCDT</f>
        <v>..........................................</v>
      </c>
      <c r="F172" s="335" t="str">
        <f>"Chức vụ: "&amp;CVCDT</f>
        <v>Chức vụ: .................................</v>
      </c>
    </row>
    <row r="173" spans="1:9" ht="17.25" customHeight="1">
      <c r="A173" s="225" t="s">
        <v>1187</v>
      </c>
      <c r="B173" s="225"/>
      <c r="F173" s="351" t="s">
        <v>1188</v>
      </c>
    </row>
    <row r="174" spans="1:9" ht="17.25" customHeight="1">
      <c r="A174" s="226" t="s">
        <v>1189</v>
      </c>
      <c r="B174" s="226"/>
    </row>
    <row r="175" spans="1:9" ht="21.75" customHeight="1">
      <c r="A175" s="370" t="s">
        <v>1360</v>
      </c>
      <c r="B175" s="369" t="s">
        <v>1757</v>
      </c>
      <c r="F175" s="369" t="s">
        <v>1903</v>
      </c>
    </row>
    <row r="176" spans="1:9" ht="21.75" customHeight="1">
      <c r="A176" s="370" t="s">
        <v>1360</v>
      </c>
      <c r="B176" s="369" t="s">
        <v>1902</v>
      </c>
      <c r="F176" s="369" t="s">
        <v>1903</v>
      </c>
    </row>
    <row r="177" spans="1:9" ht="17.25" customHeight="1">
      <c r="A177" s="226" t="s">
        <v>1190</v>
      </c>
      <c r="B177" s="226"/>
    </row>
    <row r="178" spans="1:9" ht="17.25" customHeight="1">
      <c r="A178" s="225" t="s">
        <v>1359</v>
      </c>
      <c r="B178" s="319" t="str">
        <f>TPDVTC</f>
        <v>Lê Văn Thái</v>
      </c>
      <c r="F178" s="225" t="s">
        <v>1191</v>
      </c>
    </row>
    <row r="179" spans="1:9" ht="17.25" customHeight="1">
      <c r="A179" s="225" t="s">
        <v>1187</v>
      </c>
      <c r="B179" s="225"/>
      <c r="F179" s="351" t="s">
        <v>1188</v>
      </c>
    </row>
    <row r="180" spans="1:9" ht="17.25" customHeight="1">
      <c r="A180" s="225"/>
      <c r="B180" s="225"/>
      <c r="F180" s="225"/>
    </row>
    <row r="181" spans="1:9" ht="17.25" customHeight="1">
      <c r="A181" s="224" t="s">
        <v>1192</v>
      </c>
      <c r="B181" s="224"/>
    </row>
    <row r="182" spans="1:9" ht="17.25" customHeight="1">
      <c r="A182" s="225" t="str">
        <f>"Bắt đầu: "&amp;VLOOKUP($J$160,NTCT,12,0)&amp;", ngày "&amp;VLOOKUP($J$160,NTCT,14,0)&amp;" tháng "&amp;VLOOKUP($J$160,NTCT,15,0)&amp;" năm 2014"</f>
        <v>Bắt đầu: 09 giờ 00, ngày 27 tháng 08 năm 2014</v>
      </c>
      <c r="B182" s="225"/>
    </row>
    <row r="183" spans="1:9" ht="17.25" customHeight="1">
      <c r="A183" s="225" t="str">
        <f>"Kết thúc: "&amp;VLOOKUP($J$160,NTCT,13,0)&amp;", ngày "&amp;VLOOKUP($J$160,NTCT,14,0)&amp;" tháng "&amp;VLOOKUP($J$160,NTCT,15,0)&amp;" năm 2014"</f>
        <v>Kết thúc: 10 giờ 00, ngày 27 tháng 08 năm 2014</v>
      </c>
      <c r="B183" s="225"/>
    </row>
    <row r="184" spans="1:9" ht="17.25" customHeight="1">
      <c r="A184" s="225" t="str">
        <f>A69</f>
        <v>Tại: Nhà tiểu học 3 phòng - Điểm TĐC Pom Chốn</v>
      </c>
      <c r="B184" s="225"/>
    </row>
    <row r="185" spans="1:9" ht="9" customHeight="1">
      <c r="A185" s="225"/>
      <c r="B185" s="225"/>
    </row>
    <row r="186" spans="1:9" ht="16.5">
      <c r="A186" s="224" t="s">
        <v>1193</v>
      </c>
      <c r="B186" s="224"/>
    </row>
    <row r="187" spans="1:9" ht="16.5">
      <c r="A187" s="224" t="s">
        <v>1217</v>
      </c>
      <c r="B187" s="224"/>
    </row>
    <row r="188" spans="1:9" ht="19.5" customHeight="1">
      <c r="A188" s="474" t="str">
        <f>"- Phiếu yêu cầu nghiệm thu của nhà thầu thi công số : "&amp;VLOOKUP($J$160,NTCT,8,0)&amp;"/PYC"</f>
        <v>- Phiếu yêu cầu nghiệm thu của nhà thầu thi công số : 4/CTTH3PC/PYC</v>
      </c>
      <c r="B188" s="474"/>
      <c r="C188" s="474"/>
      <c r="D188" s="474"/>
      <c r="E188" s="474"/>
      <c r="F188" s="474"/>
      <c r="G188" s="474"/>
      <c r="H188" s="474"/>
      <c r="I188" s="474"/>
    </row>
    <row r="189" spans="1:9" ht="33" customHeight="1">
      <c r="A189" s="473" t="s">
        <v>1184</v>
      </c>
      <c r="B189" s="473"/>
      <c r="C189" s="473"/>
      <c r="D189" s="473"/>
      <c r="E189" s="473"/>
      <c r="F189" s="473"/>
      <c r="G189" s="473"/>
      <c r="H189" s="473"/>
      <c r="I189" s="473"/>
    </row>
    <row r="190" spans="1:9" ht="19.5" customHeight="1">
      <c r="A190" s="474" t="s">
        <v>1194</v>
      </c>
      <c r="B190" s="474"/>
      <c r="C190" s="474"/>
      <c r="D190" s="474"/>
      <c r="E190" s="474"/>
      <c r="F190" s="474"/>
      <c r="G190" s="474"/>
      <c r="H190" s="474"/>
      <c r="I190" s="474"/>
    </row>
    <row r="191" spans="1:9" ht="19.5" customHeight="1">
      <c r="A191" s="225" t="s">
        <v>1218</v>
      </c>
    </row>
    <row r="192" spans="1:9" ht="19.5" customHeight="1">
      <c r="A192" s="225" t="s">
        <v>1219</v>
      </c>
    </row>
    <row r="193" spans="1:10" ht="19.5" customHeight="1">
      <c r="A193" s="225" t="s">
        <v>1220</v>
      </c>
    </row>
    <row r="194" spans="1:10" ht="19.5" customHeight="1">
      <c r="A194" s="225" t="s">
        <v>1221</v>
      </c>
    </row>
    <row r="195" spans="1:10" ht="19.5" customHeight="1">
      <c r="A195" s="225" t="s">
        <v>1222</v>
      </c>
    </row>
    <row r="196" spans="1:10" ht="19.5" customHeight="1">
      <c r="A196" s="225" t="s">
        <v>1223</v>
      </c>
    </row>
    <row r="197" spans="1:10" ht="16.5">
      <c r="A197" s="224" t="s">
        <v>1224</v>
      </c>
    </row>
    <row r="198" spans="1:10" ht="16.5">
      <c r="A198" s="225" t="s">
        <v>1225</v>
      </c>
    </row>
    <row r="199" spans="1:10" ht="16.5">
      <c r="A199" s="486" t="s">
        <v>1226</v>
      </c>
      <c r="B199" s="486"/>
      <c r="C199" s="486"/>
      <c r="D199" s="486"/>
      <c r="E199" s="487" t="s">
        <v>1201</v>
      </c>
      <c r="F199" s="487"/>
      <c r="G199" s="487"/>
      <c r="H199" s="487" t="s">
        <v>1227</v>
      </c>
      <c r="I199" s="487"/>
    </row>
    <row r="200" spans="1:10" ht="16.5">
      <c r="A200" s="486"/>
      <c r="B200" s="486"/>
      <c r="C200" s="486"/>
      <c r="D200" s="486"/>
      <c r="E200" s="487"/>
      <c r="F200" s="487"/>
      <c r="G200" s="487"/>
      <c r="H200" s="233" t="s">
        <v>1203</v>
      </c>
      <c r="I200" s="233" t="s">
        <v>1204</v>
      </c>
      <c r="J200" s="220"/>
    </row>
    <row r="201" spans="1:10" ht="33.75" customHeight="1">
      <c r="A201" s="488" t="s">
        <v>1228</v>
      </c>
      <c r="B201" s="488"/>
      <c r="C201" s="488"/>
      <c r="D201" s="488"/>
      <c r="E201" s="488" t="s">
        <v>1229</v>
      </c>
      <c r="F201" s="488"/>
      <c r="G201" s="488"/>
      <c r="H201" s="234" t="s">
        <v>1230</v>
      </c>
      <c r="I201" s="234"/>
    </row>
    <row r="202" spans="1:10" ht="16.5">
      <c r="A202" s="488" t="s">
        <v>1231</v>
      </c>
      <c r="B202" s="488"/>
      <c r="C202" s="488"/>
      <c r="D202" s="488"/>
      <c r="E202" s="488" t="s">
        <v>1232</v>
      </c>
      <c r="F202" s="488"/>
      <c r="G202" s="488"/>
      <c r="H202" s="234" t="s">
        <v>1230</v>
      </c>
      <c r="I202" s="234"/>
    </row>
    <row r="203" spans="1:10" ht="16.5">
      <c r="A203" s="488" t="s">
        <v>1233</v>
      </c>
      <c r="B203" s="488"/>
      <c r="C203" s="488"/>
      <c r="D203" s="488"/>
      <c r="E203" s="488" t="s">
        <v>1232</v>
      </c>
      <c r="F203" s="488"/>
      <c r="G203" s="488"/>
      <c r="H203" s="234" t="s">
        <v>1230</v>
      </c>
      <c r="I203" s="234"/>
    </row>
    <row r="204" spans="1:10" ht="16.5">
      <c r="A204" s="488" t="s">
        <v>1234</v>
      </c>
      <c r="B204" s="488"/>
      <c r="C204" s="488"/>
      <c r="D204" s="488"/>
      <c r="E204" s="488" t="s">
        <v>1235</v>
      </c>
      <c r="F204" s="488"/>
      <c r="G204" s="488"/>
      <c r="H204" s="234" t="s">
        <v>1230</v>
      </c>
      <c r="I204" s="234"/>
    </row>
    <row r="205" spans="1:10" ht="33.75" customHeight="1">
      <c r="A205" s="488" t="s">
        <v>1236</v>
      </c>
      <c r="B205" s="488"/>
      <c r="C205" s="488"/>
      <c r="D205" s="488"/>
      <c r="E205" s="488" t="s">
        <v>1235</v>
      </c>
      <c r="F205" s="488"/>
      <c r="G205" s="488"/>
      <c r="H205" s="234" t="s">
        <v>1230</v>
      </c>
      <c r="I205" s="234"/>
    </row>
    <row r="206" spans="1:10" ht="33.75" customHeight="1">
      <c r="A206" s="488" t="s">
        <v>1237</v>
      </c>
      <c r="B206" s="488"/>
      <c r="C206" s="488"/>
      <c r="D206" s="488"/>
      <c r="E206" s="488" t="s">
        <v>1235</v>
      </c>
      <c r="F206" s="488"/>
      <c r="G206" s="488"/>
      <c r="H206" s="234" t="s">
        <v>1230</v>
      </c>
      <c r="I206" s="234"/>
    </row>
    <row r="207" spans="1:10" ht="16.5">
      <c r="A207" s="488" t="s">
        <v>1238</v>
      </c>
      <c r="B207" s="488"/>
      <c r="C207" s="488"/>
      <c r="D207" s="488"/>
      <c r="E207" s="488" t="s">
        <v>1239</v>
      </c>
      <c r="F207" s="488"/>
      <c r="G207" s="488"/>
      <c r="H207" s="234" t="s">
        <v>1230</v>
      </c>
      <c r="I207" s="234"/>
    </row>
    <row r="208" spans="1:10" ht="6.75" customHeight="1">
      <c r="A208" s="225"/>
    </row>
    <row r="209" spans="1:10" ht="16.5">
      <c r="A209" s="224" t="s">
        <v>1240</v>
      </c>
    </row>
    <row r="210" spans="1:10" ht="8.25" customHeight="1">
      <c r="A210" s="224"/>
    </row>
    <row r="211" spans="1:10" ht="16.5">
      <c r="A211" s="224" t="s">
        <v>1241</v>
      </c>
    </row>
    <row r="212" spans="1:10" ht="21" customHeight="1">
      <c r="A212" s="225" t="s">
        <v>1242</v>
      </c>
    </row>
    <row r="213" spans="1:10" ht="21" customHeight="1">
      <c r="A213" s="225" t="s">
        <v>1243</v>
      </c>
    </row>
    <row r="214" spans="1:10" ht="9" customHeight="1"/>
    <row r="215" spans="1:10" s="230" customFormat="1" ht="16.5" customHeight="1">
      <c r="A215" s="480" t="s">
        <v>1214</v>
      </c>
      <c r="B215" s="480"/>
      <c r="C215" s="480"/>
      <c r="D215" s="480"/>
      <c r="E215" s="480"/>
      <c r="F215" s="480"/>
      <c r="G215" s="480"/>
      <c r="H215" s="480"/>
      <c r="I215" s="480"/>
      <c r="J215" s="285"/>
    </row>
    <row r="216" spans="1:10" s="230" customFormat="1" ht="15.75">
      <c r="A216" s="480" t="s">
        <v>1170</v>
      </c>
      <c r="B216" s="480"/>
      <c r="C216" s="480"/>
      <c r="D216" s="480"/>
      <c r="E216" s="481" t="s">
        <v>872</v>
      </c>
      <c r="F216" s="481"/>
      <c r="G216" s="480" t="s">
        <v>1215</v>
      </c>
      <c r="H216" s="480"/>
      <c r="I216" s="480"/>
      <c r="J216" s="285"/>
    </row>
    <row r="222" spans="1:10" s="230" customFormat="1" ht="15.75">
      <c r="A222" s="480" t="str">
        <f>TPCDT</f>
        <v>..........................................</v>
      </c>
      <c r="B222" s="480"/>
      <c r="C222" s="480"/>
      <c r="D222" s="480"/>
      <c r="E222" s="481" t="str">
        <f>TPTVGS</f>
        <v>..........................................</v>
      </c>
      <c r="F222" s="481"/>
      <c r="G222" s="480" t="str">
        <f>TPDVTC</f>
        <v>Lê Văn Thái</v>
      </c>
      <c r="H222" s="480"/>
      <c r="I222" s="480"/>
      <c r="J222" s="285"/>
    </row>
    <row r="242" spans="1:10">
      <c r="A242" s="248"/>
      <c r="B242" s="248"/>
      <c r="C242" s="248"/>
      <c r="D242" s="248"/>
      <c r="E242" s="248"/>
      <c r="F242" s="248"/>
      <c r="G242" s="248"/>
      <c r="H242" s="248"/>
      <c r="I242" s="248"/>
    </row>
    <row r="243" spans="1:10" customFormat="1" ht="16.5">
      <c r="A243" s="476" t="s">
        <v>1396</v>
      </c>
      <c r="B243" s="476"/>
      <c r="C243" s="476"/>
      <c r="D243" s="248"/>
      <c r="E243" s="476" t="s">
        <v>1174</v>
      </c>
      <c r="F243" s="476"/>
      <c r="G243" s="476"/>
      <c r="H243" s="476"/>
      <c r="I243" s="476"/>
      <c r="J243" s="284"/>
    </row>
    <row r="244" spans="1:10" customFormat="1" ht="18.75">
      <c r="A244" s="476" t="s">
        <v>1397</v>
      </c>
      <c r="B244" s="476"/>
      <c r="C244" s="476"/>
      <c r="D244" s="248"/>
      <c r="E244" s="477" t="s">
        <v>1176</v>
      </c>
      <c r="F244" s="477"/>
      <c r="G244" s="477"/>
      <c r="H244" s="477"/>
      <c r="I244" s="477"/>
      <c r="J244" s="284"/>
    </row>
    <row r="245" spans="1:10" customFormat="1" ht="16.5">
      <c r="A245" s="478" t="s">
        <v>1398</v>
      </c>
      <c r="B245" s="478"/>
      <c r="C245" s="478"/>
      <c r="J245" s="284"/>
    </row>
    <row r="246" spans="1:10" customFormat="1" ht="16.5">
      <c r="A246" s="280"/>
      <c r="B246" s="266"/>
      <c r="E246" s="492" t="str">
        <f>"Quan Hóa , ngày "&amp;VLOOKUP($J$285,NTVK,9,0)&amp;" tháng "&amp;VLOOKUP($J$285,NTVK,10,0)&amp;" năm 2014"</f>
        <v>Quan Hóa , ngày 26 tháng 08 năm 2014</v>
      </c>
      <c r="F246" s="492"/>
      <c r="G246" s="492"/>
      <c r="H246" s="492"/>
      <c r="I246" s="492"/>
      <c r="J246" s="284"/>
    </row>
    <row r="247" spans="1:10" customFormat="1" ht="6.75" customHeight="1">
      <c r="A247" s="280"/>
      <c r="J247" s="284"/>
    </row>
    <row r="248" spans="1:10" customFormat="1" ht="18.75">
      <c r="A248" s="470" t="str">
        <f>"PHIẾU YÊU CẦU SỐ: "&amp;VLOOKUP($J$285,NTVK,7,0)&amp;"/PYC"</f>
        <v>PHIẾU YÊU CẦU SỐ: 4/VKTH3PC/PYC</v>
      </c>
      <c r="B248" s="470"/>
      <c r="C248" s="470"/>
      <c r="D248" s="470"/>
      <c r="E248" s="470"/>
      <c r="F248" s="470"/>
      <c r="G248" s="470"/>
      <c r="H248" s="470"/>
      <c r="I248" s="470"/>
      <c r="J248" s="284"/>
    </row>
    <row r="249" spans="1:10" customFormat="1" ht="17.25">
      <c r="A249" s="471" t="str">
        <f>"("&amp;VLOOKUP($J$285,NTVK,4,0)&amp;")"</f>
        <v>(Nghiệm thu ván khuôn bê tông giằng móng)</v>
      </c>
      <c r="B249" s="471"/>
      <c r="C249" s="471"/>
      <c r="D249" s="471"/>
      <c r="E249" s="471"/>
      <c r="F249" s="471"/>
      <c r="G249" s="471"/>
      <c r="H249" s="471"/>
      <c r="I249" s="471"/>
      <c r="J249" s="284"/>
    </row>
    <row r="250" spans="1:10" customFormat="1" ht="7.5" customHeight="1">
      <c r="A250" s="226"/>
      <c r="B250" s="220"/>
      <c r="J250" s="284"/>
    </row>
    <row r="251" spans="1:10" customFormat="1" ht="16.5">
      <c r="A251" s="224" t="s">
        <v>1179</v>
      </c>
      <c r="B251" s="266"/>
      <c r="J251" s="284"/>
    </row>
    <row r="252" spans="1:10" customFormat="1" ht="16.5">
      <c r="A252" s="224" t="s">
        <v>1412</v>
      </c>
      <c r="B252" s="266"/>
      <c r="J252" s="284"/>
    </row>
    <row r="253" spans="1:10" customFormat="1" ht="16.5">
      <c r="A253" s="224" t="s">
        <v>1399</v>
      </c>
      <c r="B253" s="220"/>
      <c r="J253" s="284"/>
    </row>
    <row r="254" spans="1:10" customFormat="1" ht="16.5">
      <c r="A254" s="224" t="s">
        <v>1400</v>
      </c>
      <c r="B254" s="220"/>
      <c r="J254" s="284"/>
    </row>
    <row r="255" spans="1:10" customFormat="1" ht="8.25" customHeight="1">
      <c r="A255" s="266"/>
      <c r="B255" s="220"/>
      <c r="J255" s="284"/>
    </row>
    <row r="256" spans="1:10" customFormat="1" ht="16.5">
      <c r="A256" s="224" t="s">
        <v>1401</v>
      </c>
      <c r="B256" s="220"/>
      <c r="C256" s="266" t="s">
        <v>1402</v>
      </c>
      <c r="J256" s="284"/>
    </row>
    <row r="257" spans="1:10" customFormat="1" ht="16.5">
      <c r="A257" s="220"/>
      <c r="B257" s="220"/>
      <c r="C257" s="266" t="s">
        <v>1403</v>
      </c>
      <c r="J257" s="284"/>
    </row>
    <row r="258" spans="1:10" customFormat="1" ht="6.75" customHeight="1">
      <c r="A258" s="277"/>
      <c r="B258" s="220"/>
      <c r="J258" s="284"/>
    </row>
    <row r="259" spans="1:10" customFormat="1" ht="49.5" customHeight="1">
      <c r="A259" s="473" t="s">
        <v>1420</v>
      </c>
      <c r="B259" s="473"/>
      <c r="C259" s="473"/>
      <c r="D259" s="473"/>
      <c r="E259" s="473"/>
      <c r="F259" s="473"/>
      <c r="G259" s="473"/>
      <c r="H259" s="473"/>
      <c r="I259" s="473"/>
      <c r="J259" s="284"/>
    </row>
    <row r="260" spans="1:10" customFormat="1" ht="16.5">
      <c r="A260" s="473" t="s">
        <v>1414</v>
      </c>
      <c r="B260" s="473"/>
      <c r="C260" s="473"/>
      <c r="D260" s="473"/>
      <c r="E260" s="473"/>
      <c r="F260" s="473"/>
      <c r="G260" s="473"/>
      <c r="H260" s="473"/>
      <c r="I260" s="473"/>
      <c r="J260" s="284"/>
    </row>
    <row r="261" spans="1:10" customFormat="1" ht="35.25" customHeight="1">
      <c r="A261" s="485" t="str">
        <f>"    "&amp;VLOOKUP($J$285,NTVK,4,0)&amp;", "&amp;VITRI&amp;", "&amp;DIEMTDC</f>
        <v xml:space="preserve">    Nghiệm thu ván khuôn bê tông giằng móng, Nhà tiểu học 3 phòng, Điểm TĐC Pom Chốn</v>
      </c>
      <c r="B261" s="485"/>
      <c r="C261" s="485"/>
      <c r="D261" s="485"/>
      <c r="E261" s="485"/>
      <c r="F261" s="485"/>
      <c r="G261" s="485"/>
      <c r="H261" s="485"/>
      <c r="I261" s="485"/>
      <c r="J261" s="284"/>
    </row>
    <row r="262" spans="1:10" customFormat="1" ht="18.75" customHeight="1">
      <c r="A262" s="266" t="s">
        <v>1415</v>
      </c>
      <c r="B262" s="220"/>
      <c r="J262" s="284"/>
    </row>
    <row r="263" spans="1:10" customFormat="1" ht="18.75" customHeight="1">
      <c r="A263" s="266" t="str">
        <f>"     Thời gian: "&amp;VLOOKUP($J$285,NTVK,12,0)&amp;", ngày "&amp;VLOOKUP($J$285,NTVK,14,0)&amp;" tháng "&amp;VLOOKUP($J$285,NTVK,15,0)&amp;" năm 2014"</f>
        <v xml:space="preserve">     Thời gian: 08 giờ 00, ngày 27 tháng 08 năm 2014</v>
      </c>
      <c r="B263" s="220"/>
      <c r="J263" s="284"/>
    </row>
    <row r="264" spans="1:10" customFormat="1" ht="18.75" customHeight="1">
      <c r="A264" s="266" t="str">
        <f>"     Tại lô nhà "&amp;VITRI&amp;", "&amp;DIEMTDC</f>
        <v xml:space="preserve">     Tại lô nhà Nhà tiểu học 3 phòng, Điểm TĐC Pom Chốn</v>
      </c>
      <c r="B264" s="220"/>
      <c r="J264" s="284"/>
    </row>
    <row r="265" spans="1:10" customFormat="1" ht="16.5">
      <c r="A265" s="221" t="s">
        <v>1404</v>
      </c>
      <c r="B265" s="220"/>
      <c r="J265" s="284"/>
    </row>
    <row r="266" spans="1:10" customFormat="1" ht="16.5">
      <c r="A266" s="266"/>
      <c r="B266" s="220"/>
      <c r="J266" s="284"/>
    </row>
    <row r="267" spans="1:10" customFormat="1" ht="16.5">
      <c r="A267" s="278" t="s">
        <v>1405</v>
      </c>
      <c r="E267" s="478" t="s">
        <v>1408</v>
      </c>
      <c r="F267" s="478"/>
      <c r="G267" s="478"/>
      <c r="H267" s="478"/>
      <c r="J267" s="284"/>
    </row>
    <row r="268" spans="1:10" customFormat="1" ht="16.5">
      <c r="A268" s="279" t="s">
        <v>1406</v>
      </c>
      <c r="E268" s="478" t="s">
        <v>1409</v>
      </c>
      <c r="F268" s="478"/>
      <c r="G268" s="478"/>
      <c r="H268" s="478"/>
      <c r="J268" s="284"/>
    </row>
    <row r="269" spans="1:10" customFormat="1" ht="16.5">
      <c r="A269" s="279" t="s">
        <v>1407</v>
      </c>
      <c r="B269" s="224"/>
      <c r="J269" s="284"/>
    </row>
    <row r="270" spans="1:10" customFormat="1" ht="16.5">
      <c r="A270" s="232"/>
      <c r="B270" s="224"/>
      <c r="J270" s="284"/>
    </row>
    <row r="271" spans="1:10" customFormat="1" ht="16.5">
      <c r="A271" s="232"/>
      <c r="B271" s="224"/>
      <c r="J271" s="284"/>
    </row>
    <row r="272" spans="1:10" customFormat="1" ht="16.5">
      <c r="A272" s="232"/>
      <c r="B272" s="224"/>
      <c r="J272" s="284"/>
    </row>
    <row r="273" spans="1:10" customFormat="1" ht="14.25" customHeight="1">
      <c r="A273" s="232"/>
      <c r="E273" s="478" t="s">
        <v>1410</v>
      </c>
      <c r="F273" s="478"/>
      <c r="G273" s="478"/>
      <c r="H273" s="478"/>
      <c r="J273" s="284"/>
    </row>
    <row r="274" spans="1:10" customFormat="1" ht="16.5">
      <c r="A274" s="232"/>
      <c r="B274" s="224"/>
      <c r="J274" s="284"/>
    </row>
    <row r="275" spans="1:10" customFormat="1" ht="16.5">
      <c r="A275" s="224" t="s">
        <v>1411</v>
      </c>
      <c r="B275" s="220"/>
      <c r="J275" s="284"/>
    </row>
    <row r="276" spans="1:10" customFormat="1" ht="21" customHeight="1">
      <c r="A276" t="s">
        <v>1413</v>
      </c>
      <c r="J276" s="284"/>
    </row>
    <row r="277" spans="1:10" customFormat="1" ht="21" customHeight="1">
      <c r="A277" t="s">
        <v>1413</v>
      </c>
      <c r="J277" s="284"/>
    </row>
    <row r="278" spans="1:10" customFormat="1" ht="21" customHeight="1">
      <c r="A278" t="s">
        <v>1413</v>
      </c>
      <c r="J278" s="284"/>
    </row>
    <row r="279" spans="1:10" customFormat="1" ht="14.25">
      <c r="J279" s="284"/>
    </row>
    <row r="280" spans="1:10" customFormat="1" ht="14.25">
      <c r="A280" s="127"/>
      <c r="B280" s="127"/>
      <c r="C280" s="127"/>
      <c r="D280" s="127"/>
      <c r="E280" s="127"/>
      <c r="F280" s="127"/>
      <c r="G280" s="127"/>
      <c r="H280" s="127"/>
      <c r="I280" s="127"/>
      <c r="J280" s="284"/>
    </row>
    <row r="281" spans="1:10" ht="16.5">
      <c r="A281" s="475" t="s">
        <v>1173</v>
      </c>
      <c r="B281" s="475"/>
      <c r="C281" s="475"/>
      <c r="D281" s="475"/>
      <c r="E281" s="476" t="s">
        <v>1174</v>
      </c>
      <c r="F281" s="476"/>
      <c r="G281" s="476"/>
      <c r="H281" s="476"/>
      <c r="I281" s="476"/>
    </row>
    <row r="282" spans="1:10" ht="18.75">
      <c r="A282" s="482" t="s">
        <v>1175</v>
      </c>
      <c r="B282" s="482"/>
      <c r="C282" s="482"/>
      <c r="D282" s="482"/>
      <c r="E282" s="470" t="s">
        <v>1176</v>
      </c>
      <c r="F282" s="470"/>
      <c r="G282" s="470"/>
      <c r="H282" s="470"/>
      <c r="I282" s="470"/>
    </row>
    <row r="283" spans="1:10" ht="16.5">
      <c r="A283" s="478" t="s">
        <v>1177</v>
      </c>
      <c r="B283" s="478"/>
      <c r="C283" s="478"/>
      <c r="D283" s="478"/>
      <c r="G283" s="221"/>
    </row>
    <row r="284" spans="1:10" ht="18.75">
      <c r="A284" s="222"/>
      <c r="B284" s="222"/>
      <c r="F284" s="479" t="str">
        <f>"Quan Hóa , ngày "&amp;VLOOKUP($J$285,NTVK,14,0)&amp;" tháng "&amp;VLOOKUP($J$285,NTVK,15,0)&amp;" năm 2014"</f>
        <v>Quan Hóa , ngày 27 tháng 08 năm 2014</v>
      </c>
      <c r="G284" s="479"/>
      <c r="H284" s="479"/>
      <c r="I284" s="479"/>
    </row>
    <row r="285" spans="1:10" ht="19.5">
      <c r="A285" s="472" t="str">
        <f>"BIÊN BẢN SỐ: "&amp;VLOOKUP($J$285,NTVK,8,0)&amp;"/NTVK"</f>
        <v>BIÊN BẢN SỐ: 4/VKTH3PC/NTVK</v>
      </c>
      <c r="B285" s="472"/>
      <c r="C285" s="472"/>
      <c r="D285" s="472"/>
      <c r="E285" s="472"/>
      <c r="F285" s="472"/>
      <c r="G285" s="472"/>
      <c r="H285" s="472"/>
      <c r="I285" s="472"/>
      <c r="J285" s="283">
        <f>MHVK</f>
        <v>2</v>
      </c>
    </row>
    <row r="286" spans="1:10" ht="19.5">
      <c r="A286" s="472" t="s">
        <v>1244</v>
      </c>
      <c r="B286" s="472"/>
      <c r="C286" s="472"/>
      <c r="D286" s="472"/>
      <c r="E286" s="472"/>
      <c r="F286" s="472"/>
      <c r="G286" s="472"/>
      <c r="H286" s="472"/>
      <c r="I286" s="472"/>
    </row>
    <row r="287" spans="1:10" ht="8.25" customHeight="1">
      <c r="A287" s="223"/>
      <c r="B287" s="223"/>
    </row>
    <row r="288" spans="1:10" ht="21.75" customHeight="1">
      <c r="A288" s="224" t="s">
        <v>1179</v>
      </c>
      <c r="B288" s="224"/>
      <c r="D288" s="225"/>
    </row>
    <row r="289" spans="1:9" ht="21.75" customHeight="1">
      <c r="A289" s="224" t="s">
        <v>1180</v>
      </c>
      <c r="B289" s="224"/>
      <c r="D289" s="225"/>
    </row>
    <row r="290" spans="1:9" ht="21.75" customHeight="1">
      <c r="A290" s="224" t="s">
        <v>1181</v>
      </c>
      <c r="B290" s="224"/>
    </row>
    <row r="291" spans="1:9" ht="21.75" customHeight="1">
      <c r="A291" s="224" t="s">
        <v>1182</v>
      </c>
      <c r="B291" s="224"/>
    </row>
    <row r="292" spans="1:9" ht="8.25" customHeight="1">
      <c r="A292" s="224"/>
      <c r="B292" s="224"/>
    </row>
    <row r="293" spans="1:9" ht="16.5">
      <c r="A293" s="224" t="s">
        <v>1183</v>
      </c>
      <c r="B293" s="224"/>
    </row>
    <row r="294" spans="1:9" ht="32.25" customHeight="1">
      <c r="A294" s="473" t="str">
        <f>"- "&amp;VLOOKUP($J$285,NTVK,4,0)&amp;", "&amp;VITRI</f>
        <v>- Nghiệm thu ván khuôn bê tông giằng móng, Nhà tiểu học 3 phòng</v>
      </c>
      <c r="B294" s="473"/>
      <c r="C294" s="473"/>
      <c r="D294" s="473"/>
      <c r="E294" s="473"/>
      <c r="F294" s="473"/>
      <c r="G294" s="473"/>
      <c r="H294" s="473"/>
      <c r="I294" s="473"/>
    </row>
    <row r="295" spans="1:9" ht="20.25" customHeight="1">
      <c r="A295" s="224" t="s">
        <v>1185</v>
      </c>
      <c r="B295" s="224"/>
    </row>
    <row r="296" spans="1:9" ht="22.5" customHeight="1">
      <c r="A296" s="226" t="s">
        <v>1186</v>
      </c>
      <c r="B296" s="226"/>
    </row>
    <row r="297" spans="1:9" ht="22.5" customHeight="1">
      <c r="A297" s="239" t="s">
        <v>1359</v>
      </c>
      <c r="B297" s="262" t="str">
        <f>TPCDT</f>
        <v>..........................................</v>
      </c>
      <c r="F297" s="335" t="str">
        <f>"Chức vụ: "&amp;CVCDT</f>
        <v>Chức vụ: .................................</v>
      </c>
    </row>
    <row r="298" spans="1:9" ht="22.5" customHeight="1">
      <c r="A298" s="225" t="s">
        <v>1187</v>
      </c>
      <c r="B298" s="225"/>
      <c r="F298" s="351" t="s">
        <v>1188</v>
      </c>
    </row>
    <row r="299" spans="1:9" ht="22.5" customHeight="1">
      <c r="A299" s="226" t="s">
        <v>1189</v>
      </c>
      <c r="B299" s="226"/>
    </row>
    <row r="300" spans="1:9" ht="21.75" customHeight="1">
      <c r="A300" s="370" t="s">
        <v>1360</v>
      </c>
      <c r="B300" s="369" t="s">
        <v>1757</v>
      </c>
      <c r="F300" s="369" t="s">
        <v>1903</v>
      </c>
    </row>
    <row r="301" spans="1:9" ht="21.75" customHeight="1">
      <c r="A301" s="370" t="s">
        <v>1360</v>
      </c>
      <c r="B301" s="369" t="s">
        <v>1902</v>
      </c>
      <c r="F301" s="369" t="s">
        <v>1903</v>
      </c>
    </row>
    <row r="302" spans="1:9" ht="22.5" customHeight="1">
      <c r="A302" s="226" t="s">
        <v>1190</v>
      </c>
      <c r="B302" s="226"/>
    </row>
    <row r="303" spans="1:9" ht="22.5" customHeight="1">
      <c r="A303" s="225" t="s">
        <v>1359</v>
      </c>
      <c r="B303" s="225" t="str">
        <f>TPDVTC</f>
        <v>Lê Văn Thái</v>
      </c>
      <c r="F303" s="225" t="s">
        <v>1191</v>
      </c>
    </row>
    <row r="304" spans="1:9" ht="22.5" customHeight="1">
      <c r="A304" s="225" t="s">
        <v>1187</v>
      </c>
      <c r="B304" s="225"/>
      <c r="F304" s="351" t="s">
        <v>1188</v>
      </c>
    </row>
    <row r="305" spans="1:9" ht="9" customHeight="1">
      <c r="A305" s="225"/>
      <c r="B305" s="225"/>
      <c r="F305" s="225"/>
    </row>
    <row r="306" spans="1:9" ht="20.25" customHeight="1">
      <c r="A306" s="224" t="s">
        <v>1192</v>
      </c>
      <c r="B306" s="224"/>
    </row>
    <row r="307" spans="1:9" ht="20.25" customHeight="1">
      <c r="A307" s="225" t="str">
        <f>"Bắt đầu: "&amp;VLOOKUP($J$285,NTVK,12,0)&amp;", ngày "&amp;VLOOKUP($J$285,NTVK,14,0)&amp;" tháng "&amp;VLOOKUP($J$285,NTVK,15,0)&amp;" năm 2014"</f>
        <v>Bắt đầu: 08 giờ 00, ngày 27 tháng 08 năm 2014</v>
      </c>
      <c r="B307" s="225"/>
    </row>
    <row r="308" spans="1:9" ht="20.25" customHeight="1">
      <c r="A308" s="225" t="str">
        <f>"Kết thúc: "&amp;VLOOKUP($J$285,NTVK,13,0)&amp;", ngày "&amp;VLOOKUP($J$285,NTVK,14,0)&amp;" tháng "&amp;VLOOKUP($J$285,NTVK,15,0)&amp;" năm 2014"</f>
        <v>Kết thúc: 09 giờ 00, ngày 27 tháng 08 năm 2014</v>
      </c>
      <c r="B308" s="225"/>
    </row>
    <row r="309" spans="1:9" ht="20.25" customHeight="1">
      <c r="A309" s="225" t="str">
        <f>A184</f>
        <v>Tại: Nhà tiểu học 3 phòng - Điểm TĐC Pom Chốn</v>
      </c>
      <c r="B309" s="225"/>
    </row>
    <row r="310" spans="1:9" ht="9" customHeight="1">
      <c r="A310" s="225"/>
      <c r="B310" s="225"/>
    </row>
    <row r="311" spans="1:9" ht="20.25" customHeight="1">
      <c r="A311" s="224" t="s">
        <v>1193</v>
      </c>
      <c r="B311" s="224"/>
    </row>
    <row r="312" spans="1:9" ht="20.25" customHeight="1">
      <c r="A312" s="224" t="s">
        <v>1217</v>
      </c>
      <c r="B312" s="224"/>
    </row>
    <row r="313" spans="1:9" ht="21" customHeight="1">
      <c r="A313" s="474" t="str">
        <f>"- Phiếu yêu cầu nghiệm thu của nhà thầu thi công số : "&amp;VLOOKUP($J$285,NTVK,7,0)&amp;"/PYC"</f>
        <v>- Phiếu yêu cầu nghiệm thu của nhà thầu thi công số : 4/VKTH3PC/PYC</v>
      </c>
      <c r="B313" s="474"/>
      <c r="C313" s="474"/>
      <c r="D313" s="474"/>
      <c r="E313" s="474"/>
      <c r="F313" s="474"/>
      <c r="G313" s="474"/>
      <c r="H313" s="474"/>
      <c r="I313" s="474"/>
    </row>
    <row r="314" spans="1:9" ht="33" customHeight="1">
      <c r="A314" s="473" t="s">
        <v>1184</v>
      </c>
      <c r="B314" s="473"/>
      <c r="C314" s="473"/>
      <c r="D314" s="473"/>
      <c r="E314" s="473"/>
      <c r="F314" s="473"/>
      <c r="G314" s="473"/>
      <c r="H314" s="473"/>
      <c r="I314" s="473"/>
    </row>
    <row r="315" spans="1:9" ht="21.75" customHeight="1">
      <c r="A315" s="474" t="s">
        <v>1194</v>
      </c>
      <c r="B315" s="474"/>
      <c r="C315" s="474"/>
      <c r="D315" s="474"/>
      <c r="E315" s="474"/>
      <c r="F315" s="474"/>
      <c r="G315" s="474"/>
      <c r="H315" s="474"/>
      <c r="I315" s="474"/>
    </row>
    <row r="316" spans="1:9" ht="21.75" customHeight="1">
      <c r="A316" s="225" t="s">
        <v>1218</v>
      </c>
    </row>
    <row r="317" spans="1:9" ht="21" customHeight="1">
      <c r="A317" s="225" t="s">
        <v>1223</v>
      </c>
    </row>
    <row r="318" spans="1:9" ht="16.5">
      <c r="A318" s="231" t="s">
        <v>1224</v>
      </c>
    </row>
    <row r="319" spans="1:9" ht="16.5">
      <c r="A319" s="225" t="s">
        <v>1245</v>
      </c>
    </row>
    <row r="320" spans="1:9" ht="16.5">
      <c r="A320" s="486" t="s">
        <v>1226</v>
      </c>
      <c r="B320" s="486"/>
      <c r="C320" s="486"/>
      <c r="D320" s="486"/>
      <c r="E320" s="486" t="s">
        <v>1201</v>
      </c>
      <c r="F320" s="486"/>
      <c r="G320" s="486"/>
      <c r="H320" s="486" t="s">
        <v>1246</v>
      </c>
      <c r="I320" s="486"/>
    </row>
    <row r="321" spans="1:10" ht="33">
      <c r="A321" s="486"/>
      <c r="B321" s="486"/>
      <c r="C321" s="486"/>
      <c r="D321" s="486"/>
      <c r="E321" s="486"/>
      <c r="F321" s="486"/>
      <c r="G321" s="486"/>
      <c r="H321" s="235" t="s">
        <v>1203</v>
      </c>
      <c r="I321" s="235" t="s">
        <v>1204</v>
      </c>
    </row>
    <row r="322" spans="1:10" ht="16.5">
      <c r="A322" s="489" t="s">
        <v>1247</v>
      </c>
      <c r="B322" s="490"/>
      <c r="C322" s="490"/>
      <c r="D322" s="490"/>
      <c r="E322" s="490"/>
      <c r="F322" s="490"/>
      <c r="G322" s="490"/>
      <c r="H322" s="490"/>
      <c r="I322" s="491"/>
    </row>
    <row r="323" spans="1:10" ht="16.5">
      <c r="A323" s="488" t="s">
        <v>1248</v>
      </c>
      <c r="B323" s="488"/>
      <c r="C323" s="488"/>
      <c r="D323" s="488"/>
      <c r="E323" s="488" t="s">
        <v>1249</v>
      </c>
      <c r="F323" s="488"/>
      <c r="G323" s="488"/>
      <c r="H323" s="236" t="s">
        <v>1230</v>
      </c>
      <c r="I323" s="236"/>
    </row>
    <row r="324" spans="1:10" ht="16.5">
      <c r="A324" s="488" t="s">
        <v>1250</v>
      </c>
      <c r="B324" s="488"/>
      <c r="C324" s="488"/>
      <c r="D324" s="488"/>
      <c r="E324" s="488" t="s">
        <v>1232</v>
      </c>
      <c r="F324" s="488"/>
      <c r="G324" s="488"/>
      <c r="H324" s="236" t="s">
        <v>1230</v>
      </c>
      <c r="I324" s="236"/>
    </row>
    <row r="325" spans="1:10" ht="32.25" customHeight="1">
      <c r="A325" s="488" t="s">
        <v>1251</v>
      </c>
      <c r="B325" s="488"/>
      <c r="C325" s="488"/>
      <c r="D325" s="488"/>
      <c r="E325" s="488" t="s">
        <v>1232</v>
      </c>
      <c r="F325" s="488"/>
      <c r="G325" s="488"/>
      <c r="H325" s="236" t="s">
        <v>1230</v>
      </c>
      <c r="I325" s="236"/>
    </row>
    <row r="326" spans="1:10" ht="16.5">
      <c r="A326" s="488" t="s">
        <v>1252</v>
      </c>
      <c r="B326" s="488"/>
      <c r="C326" s="488"/>
      <c r="D326" s="488"/>
      <c r="E326" s="488" t="s">
        <v>1253</v>
      </c>
      <c r="F326" s="488"/>
      <c r="G326" s="488"/>
      <c r="H326" s="236"/>
      <c r="I326" s="236"/>
    </row>
    <row r="327" spans="1:10" ht="16.5">
      <c r="A327" s="488" t="s">
        <v>1254</v>
      </c>
      <c r="B327" s="488"/>
      <c r="C327" s="488"/>
      <c r="D327" s="488"/>
      <c r="E327" s="488" t="s">
        <v>1232</v>
      </c>
      <c r="F327" s="488"/>
      <c r="G327" s="488"/>
      <c r="H327" s="236" t="s">
        <v>1230</v>
      </c>
      <c r="I327" s="236"/>
    </row>
    <row r="328" spans="1:10" ht="16.5">
      <c r="A328" s="488" t="s">
        <v>1255</v>
      </c>
      <c r="B328" s="488"/>
      <c r="C328" s="488"/>
      <c r="D328" s="488"/>
      <c r="E328" s="488" t="s">
        <v>1232</v>
      </c>
      <c r="F328" s="488"/>
      <c r="G328" s="488"/>
      <c r="H328" s="236" t="s">
        <v>1230</v>
      </c>
      <c r="I328" s="236"/>
    </row>
    <row r="329" spans="1:10" ht="34.5" customHeight="1">
      <c r="A329" s="488" t="s">
        <v>1256</v>
      </c>
      <c r="B329" s="488"/>
      <c r="C329" s="488"/>
      <c r="D329" s="488"/>
      <c r="E329" s="488" t="s">
        <v>1257</v>
      </c>
      <c r="F329" s="488"/>
      <c r="G329" s="488"/>
      <c r="H329" s="236" t="s">
        <v>1230</v>
      </c>
      <c r="I329" s="236"/>
    </row>
    <row r="330" spans="1:10" ht="16.5">
      <c r="A330" s="488" t="s">
        <v>1258</v>
      </c>
      <c r="B330" s="488"/>
      <c r="C330" s="488"/>
      <c r="D330" s="488"/>
      <c r="E330" s="488" t="s">
        <v>1232</v>
      </c>
      <c r="F330" s="488"/>
      <c r="G330" s="488"/>
      <c r="H330" s="236"/>
      <c r="I330" s="236"/>
    </row>
    <row r="331" spans="1:10" ht="16.5">
      <c r="A331" s="489" t="s">
        <v>1259</v>
      </c>
      <c r="B331" s="490"/>
      <c r="C331" s="490"/>
      <c r="D331" s="490"/>
      <c r="E331" s="490"/>
      <c r="F331" s="490"/>
      <c r="G331" s="490"/>
      <c r="H331" s="490"/>
      <c r="I331" s="491"/>
    </row>
    <row r="332" spans="1:10" ht="50.25" customHeight="1">
      <c r="A332" s="488" t="s">
        <v>1260</v>
      </c>
      <c r="B332" s="488"/>
      <c r="C332" s="488"/>
      <c r="D332" s="488"/>
      <c r="E332" s="488" t="s">
        <v>1261</v>
      </c>
      <c r="F332" s="488"/>
      <c r="G332" s="488"/>
      <c r="H332" s="236" t="s">
        <v>1230</v>
      </c>
      <c r="I332" s="236"/>
    </row>
    <row r="333" spans="1:10" ht="35.25" customHeight="1">
      <c r="A333" s="488" t="s">
        <v>1262</v>
      </c>
      <c r="B333" s="488"/>
      <c r="C333" s="488"/>
      <c r="D333" s="488"/>
      <c r="E333" s="488" t="s">
        <v>1263</v>
      </c>
      <c r="F333" s="488"/>
      <c r="G333" s="488"/>
      <c r="H333" s="236" t="s">
        <v>1230</v>
      </c>
      <c r="I333" s="236"/>
    </row>
    <row r="334" spans="1:10" ht="6.75" customHeight="1">
      <c r="A334" s="225"/>
      <c r="J334" s="220"/>
    </row>
    <row r="335" spans="1:10" ht="16.5">
      <c r="A335" s="224" t="s">
        <v>1240</v>
      </c>
    </row>
    <row r="336" spans="1:10" ht="8.25" customHeight="1">
      <c r="A336" s="224"/>
    </row>
    <row r="337" spans="1:10" ht="16.5">
      <c r="A337" s="224" t="s">
        <v>1241</v>
      </c>
    </row>
    <row r="338" spans="1:10" ht="21" customHeight="1">
      <c r="A338" s="225" t="s">
        <v>1242</v>
      </c>
    </row>
    <row r="339" spans="1:10" ht="21" customHeight="1">
      <c r="A339" s="225" t="s">
        <v>1243</v>
      </c>
    </row>
    <row r="340" spans="1:10" ht="9" customHeight="1"/>
    <row r="341" spans="1:10" s="230" customFormat="1" ht="16.5" customHeight="1">
      <c r="A341" s="480" t="s">
        <v>1214</v>
      </c>
      <c r="B341" s="480"/>
      <c r="C341" s="480"/>
      <c r="D341" s="480"/>
      <c r="E341" s="480"/>
      <c r="F341" s="480"/>
      <c r="G341" s="480"/>
      <c r="H341" s="480"/>
      <c r="I341" s="480"/>
      <c r="J341" s="285"/>
    </row>
    <row r="342" spans="1:10" s="230" customFormat="1" ht="15.75">
      <c r="A342" s="480" t="s">
        <v>1170</v>
      </c>
      <c r="B342" s="480"/>
      <c r="C342" s="480"/>
      <c r="D342" s="480"/>
      <c r="E342" s="481" t="s">
        <v>872</v>
      </c>
      <c r="F342" s="481"/>
      <c r="G342" s="480" t="s">
        <v>1215</v>
      </c>
      <c r="H342" s="480"/>
      <c r="I342" s="480"/>
      <c r="J342" s="285"/>
    </row>
    <row r="347" spans="1:10" s="230" customFormat="1" ht="15.75">
      <c r="A347" s="480" t="str">
        <f>TPCDT</f>
        <v>..........................................</v>
      </c>
      <c r="B347" s="480"/>
      <c r="C347" s="480"/>
      <c r="D347" s="480"/>
      <c r="E347" s="481" t="str">
        <f>TPTVGS</f>
        <v>..........................................</v>
      </c>
      <c r="F347" s="481"/>
      <c r="G347" s="480" t="str">
        <f>TPDVTC</f>
        <v>Lê Văn Thái</v>
      </c>
      <c r="H347" s="480"/>
      <c r="I347" s="480"/>
      <c r="J347" s="285"/>
    </row>
    <row r="361" spans="1:10">
      <c r="A361" s="248"/>
      <c r="B361" s="248"/>
      <c r="C361" s="248"/>
      <c r="D361" s="248"/>
      <c r="E361" s="248"/>
      <c r="F361" s="248"/>
      <c r="G361" s="248"/>
      <c r="H361" s="248"/>
      <c r="I361" s="248"/>
    </row>
    <row r="362" spans="1:10" customFormat="1" ht="16.5">
      <c r="A362" s="476" t="s">
        <v>1396</v>
      </c>
      <c r="B362" s="476"/>
      <c r="C362" s="476"/>
      <c r="D362" s="248"/>
      <c r="E362" s="476" t="s">
        <v>1174</v>
      </c>
      <c r="F362" s="476"/>
      <c r="G362" s="476"/>
      <c r="H362" s="476"/>
      <c r="I362" s="476"/>
      <c r="J362" s="284"/>
    </row>
    <row r="363" spans="1:10" customFormat="1" ht="18.75">
      <c r="A363" s="478" t="s">
        <v>1397</v>
      </c>
      <c r="B363" s="478"/>
      <c r="C363" s="478"/>
      <c r="D363" s="220"/>
      <c r="E363" s="470" t="s">
        <v>1176</v>
      </c>
      <c r="F363" s="470"/>
      <c r="G363" s="470"/>
      <c r="H363" s="470"/>
      <c r="I363" s="470"/>
      <c r="J363" s="284"/>
    </row>
    <row r="364" spans="1:10" customFormat="1" ht="16.5">
      <c r="A364" s="478" t="s">
        <v>1398</v>
      </c>
      <c r="B364" s="478"/>
      <c r="C364" s="478"/>
      <c r="J364" s="284"/>
    </row>
    <row r="365" spans="1:10" customFormat="1" ht="16.5">
      <c r="A365" s="280"/>
      <c r="B365" s="266"/>
      <c r="E365" s="492" t="str">
        <f>"Quan Hóa , ngày "&amp;VLOOKUP($J$404,CBBT,9,0)&amp;" tháng "&amp;VLOOKUP($J$404,CBBT,10,0)&amp;" năm 2014"</f>
        <v>Quan Hóa , ngày 26 tháng 08 năm 2014</v>
      </c>
      <c r="F365" s="492"/>
      <c r="G365" s="492"/>
      <c r="H365" s="492"/>
      <c r="I365" s="492"/>
      <c r="J365" s="284"/>
    </row>
    <row r="366" spans="1:10" customFormat="1" ht="6.75" customHeight="1">
      <c r="A366" s="280"/>
      <c r="J366" s="284"/>
    </row>
    <row r="367" spans="1:10" customFormat="1" ht="18.75">
      <c r="A367" s="470" t="str">
        <f>"PHIẾU YÊU CẦU SỐ: "&amp;VLOOKUP($J$404,CBBT,7,0)&amp;"/PYC"</f>
        <v>PHIẾU YÊU CẦU SỐ: 4/CBTH3PC/PYC</v>
      </c>
      <c r="B367" s="470"/>
      <c r="C367" s="470"/>
      <c r="D367" s="470"/>
      <c r="E367" s="470"/>
      <c r="F367" s="470"/>
      <c r="G367" s="470"/>
      <c r="H367" s="470"/>
      <c r="I367" s="470"/>
      <c r="J367" s="284"/>
    </row>
    <row r="368" spans="1:10" customFormat="1" ht="17.25">
      <c r="A368" s="471" t="str">
        <f>"("&amp;VLOOKUP($J$404,CBBT,4,0)&amp;")"</f>
        <v>(Kiểm tra công tác chuẩn bị đổ bê tông giằng móng)</v>
      </c>
      <c r="B368" s="471"/>
      <c r="C368" s="471"/>
      <c r="D368" s="471"/>
      <c r="E368" s="471"/>
      <c r="F368" s="471"/>
      <c r="G368" s="471"/>
      <c r="H368" s="471"/>
      <c r="I368" s="471"/>
      <c r="J368" s="284"/>
    </row>
    <row r="369" spans="1:10" customFormat="1" ht="7.5" customHeight="1">
      <c r="A369" s="226"/>
      <c r="B369" s="220"/>
      <c r="J369" s="284"/>
    </row>
    <row r="370" spans="1:10" customFormat="1" ht="16.5">
      <c r="A370" s="224" t="s">
        <v>1179</v>
      </c>
      <c r="B370" s="266"/>
      <c r="J370" s="284"/>
    </row>
    <row r="371" spans="1:10" customFormat="1" ht="16.5">
      <c r="A371" s="224" t="s">
        <v>1412</v>
      </c>
      <c r="B371" s="266"/>
      <c r="J371" s="284"/>
    </row>
    <row r="372" spans="1:10" customFormat="1" ht="16.5">
      <c r="A372" s="224" t="s">
        <v>1399</v>
      </c>
      <c r="B372" s="220"/>
      <c r="J372" s="284"/>
    </row>
    <row r="373" spans="1:10" customFormat="1" ht="16.5">
      <c r="A373" s="224" t="s">
        <v>1400</v>
      </c>
      <c r="B373" s="220"/>
      <c r="J373" s="284"/>
    </row>
    <row r="374" spans="1:10" customFormat="1" ht="8.25" customHeight="1">
      <c r="A374" s="266"/>
      <c r="B374" s="220"/>
      <c r="J374" s="284"/>
    </row>
    <row r="375" spans="1:10" customFormat="1" ht="16.5">
      <c r="A375" s="224" t="s">
        <v>1401</v>
      </c>
      <c r="B375" s="220"/>
      <c r="C375" s="266" t="s">
        <v>1402</v>
      </c>
      <c r="J375" s="284"/>
    </row>
    <row r="376" spans="1:10" customFormat="1" ht="16.5">
      <c r="A376" s="220"/>
      <c r="B376" s="220"/>
      <c r="C376" s="266" t="s">
        <v>1403</v>
      </c>
      <c r="J376" s="284"/>
    </row>
    <row r="377" spans="1:10" customFormat="1" ht="6.75" customHeight="1">
      <c r="A377" s="277"/>
      <c r="B377" s="220"/>
      <c r="J377" s="284"/>
    </row>
    <row r="378" spans="1:10" customFormat="1" ht="49.5" customHeight="1">
      <c r="A378" s="473" t="s">
        <v>1420</v>
      </c>
      <c r="B378" s="473"/>
      <c r="C378" s="473"/>
      <c r="D378" s="473"/>
      <c r="E378" s="473"/>
      <c r="F378" s="473"/>
      <c r="G378" s="473"/>
      <c r="H378" s="473"/>
      <c r="I378" s="473"/>
      <c r="J378" s="284"/>
    </row>
    <row r="379" spans="1:10" customFormat="1" ht="16.5">
      <c r="A379" s="473" t="s">
        <v>1414</v>
      </c>
      <c r="B379" s="473"/>
      <c r="C379" s="473"/>
      <c r="D379" s="473"/>
      <c r="E379" s="473"/>
      <c r="F379" s="473"/>
      <c r="G379" s="473"/>
      <c r="H379" s="473"/>
      <c r="I379" s="473"/>
      <c r="J379" s="284"/>
    </row>
    <row r="380" spans="1:10" customFormat="1" ht="35.25" customHeight="1">
      <c r="A380" s="485" t="str">
        <f>"    "&amp;VLOOKUP($J$404,CBBT,4,0)&amp;", "&amp;VITRI&amp;", "&amp;DIEMTDC</f>
        <v xml:space="preserve">    Kiểm tra công tác chuẩn bị đổ bê tông giằng móng, Nhà tiểu học 3 phòng, Điểm TĐC Pom Chốn</v>
      </c>
      <c r="B380" s="485"/>
      <c r="C380" s="485"/>
      <c r="D380" s="485"/>
      <c r="E380" s="485"/>
      <c r="F380" s="485"/>
      <c r="G380" s="485"/>
      <c r="H380" s="485"/>
      <c r="I380" s="485"/>
      <c r="J380" s="284"/>
    </row>
    <row r="381" spans="1:10" customFormat="1" ht="18.75" customHeight="1">
      <c r="A381" s="266" t="s">
        <v>1415</v>
      </c>
      <c r="B381" s="220"/>
      <c r="J381" s="284"/>
    </row>
    <row r="382" spans="1:10" customFormat="1" ht="18.75" customHeight="1">
      <c r="A382" s="266" t="str">
        <f>"     Thời gian: "&amp;VLOOKUP($J$404,CBBT,12,0)&amp;", ngày "&amp;VLOOKUP($J$404,CBBT,14,0)&amp;" tháng "&amp;VLOOKUP($J$404,CBBT,15,0)&amp;" năm 2014"</f>
        <v xml:space="preserve">     Thời gian: 10 giờ 00, ngày 27 tháng 08 năm 2014</v>
      </c>
      <c r="B382" s="220"/>
      <c r="J382" s="284"/>
    </row>
    <row r="383" spans="1:10" customFormat="1" ht="18.75" customHeight="1">
      <c r="A383" s="266" t="str">
        <f>"     Tại lô nhà "&amp;VITRI&amp;", "&amp;DIEMTDC</f>
        <v xml:space="preserve">     Tại lô nhà Nhà tiểu học 3 phòng, Điểm TĐC Pom Chốn</v>
      </c>
      <c r="B383" s="220"/>
      <c r="J383" s="284"/>
    </row>
    <row r="384" spans="1:10" customFormat="1" ht="16.5">
      <c r="A384" s="221" t="s">
        <v>1404</v>
      </c>
      <c r="B384" s="220"/>
      <c r="J384" s="284"/>
    </row>
    <row r="385" spans="1:10" customFormat="1" ht="16.5">
      <c r="A385" s="266"/>
      <c r="B385" s="220"/>
      <c r="J385" s="284"/>
    </row>
    <row r="386" spans="1:10" customFormat="1" ht="16.5">
      <c r="A386" s="278" t="s">
        <v>1405</v>
      </c>
      <c r="E386" s="478" t="s">
        <v>1408</v>
      </c>
      <c r="F386" s="478"/>
      <c r="G386" s="478"/>
      <c r="H386" s="478"/>
      <c r="J386" s="284"/>
    </row>
    <row r="387" spans="1:10" customFormat="1" ht="16.5">
      <c r="A387" s="279" t="s">
        <v>1406</v>
      </c>
      <c r="E387" s="478" t="s">
        <v>1409</v>
      </c>
      <c r="F387" s="478"/>
      <c r="G387" s="478"/>
      <c r="H387" s="478"/>
      <c r="J387" s="284"/>
    </row>
    <row r="388" spans="1:10" customFormat="1" ht="16.5">
      <c r="A388" s="279" t="s">
        <v>1407</v>
      </c>
      <c r="B388" s="224"/>
      <c r="J388" s="284"/>
    </row>
    <row r="389" spans="1:10" customFormat="1" ht="16.5">
      <c r="A389" s="232"/>
      <c r="B389" s="224"/>
      <c r="J389" s="284"/>
    </row>
    <row r="390" spans="1:10" customFormat="1" ht="16.5">
      <c r="A390" s="232"/>
      <c r="B390" s="224"/>
      <c r="J390" s="284"/>
    </row>
    <row r="391" spans="1:10" customFormat="1" ht="16.5">
      <c r="A391" s="232"/>
      <c r="B391" s="224"/>
      <c r="J391" s="284"/>
    </row>
    <row r="392" spans="1:10" customFormat="1" ht="14.25" customHeight="1">
      <c r="A392" s="232"/>
      <c r="E392" s="478" t="s">
        <v>1410</v>
      </c>
      <c r="F392" s="478"/>
      <c r="G392" s="478"/>
      <c r="H392" s="478"/>
      <c r="J392" s="284"/>
    </row>
    <row r="393" spans="1:10" customFormat="1" ht="16.5">
      <c r="A393" s="232"/>
      <c r="B393" s="224"/>
      <c r="J393" s="284"/>
    </row>
    <row r="394" spans="1:10" customFormat="1" ht="16.5">
      <c r="A394" s="224" t="s">
        <v>1411</v>
      </c>
      <c r="B394" s="220"/>
      <c r="J394" s="284"/>
    </row>
    <row r="395" spans="1:10" customFormat="1" ht="21" customHeight="1">
      <c r="A395" t="s">
        <v>1413</v>
      </c>
      <c r="J395" s="284"/>
    </row>
    <row r="396" spans="1:10" customFormat="1" ht="21" customHeight="1">
      <c r="A396" t="s">
        <v>1413</v>
      </c>
      <c r="J396" s="284"/>
    </row>
    <row r="397" spans="1:10" customFormat="1" ht="21" customHeight="1">
      <c r="A397" t="s">
        <v>1413</v>
      </c>
      <c r="J397" s="284"/>
    </row>
    <row r="398" spans="1:10" customFormat="1" ht="14.25">
      <c r="J398" s="284"/>
    </row>
    <row r="399" spans="1:10" customFormat="1" ht="14.25">
      <c r="A399" s="127"/>
      <c r="B399" s="127"/>
      <c r="C399" s="127"/>
      <c r="D399" s="127"/>
      <c r="E399" s="127"/>
      <c r="F399" s="127"/>
      <c r="G399" s="127"/>
      <c r="H399" s="127"/>
      <c r="I399" s="127"/>
      <c r="J399" s="284"/>
    </row>
    <row r="400" spans="1:10" ht="16.5">
      <c r="A400" s="475" t="s">
        <v>1173</v>
      </c>
      <c r="B400" s="475"/>
      <c r="C400" s="475"/>
      <c r="D400" s="475"/>
      <c r="E400" s="476" t="s">
        <v>1174</v>
      </c>
      <c r="F400" s="476"/>
      <c r="G400" s="476"/>
      <c r="H400" s="476"/>
      <c r="I400" s="476"/>
    </row>
    <row r="401" spans="1:10" ht="18.75">
      <c r="A401" s="475" t="s">
        <v>1175</v>
      </c>
      <c r="B401" s="475"/>
      <c r="C401" s="475"/>
      <c r="D401" s="475"/>
      <c r="E401" s="477" t="s">
        <v>1176</v>
      </c>
      <c r="F401" s="477"/>
      <c r="G401" s="477"/>
      <c r="H401" s="477"/>
      <c r="I401" s="477"/>
    </row>
    <row r="402" spans="1:10" ht="16.5">
      <c r="A402" s="478" t="s">
        <v>1177</v>
      </c>
      <c r="B402" s="478"/>
      <c r="C402" s="478"/>
      <c r="D402" s="478"/>
      <c r="G402" s="221"/>
      <c r="J402" s="220"/>
    </row>
    <row r="403" spans="1:10" ht="18.75">
      <c r="A403" s="222"/>
      <c r="B403" s="222"/>
      <c r="F403" s="479" t="str">
        <f>"Quan Hóa , ngày "&amp;VLOOKUP($J$404,CBBT,14,0)&amp;" tháng "&amp;VLOOKUP($J$404,CBBT,15,0)&amp;" năm 2014"</f>
        <v>Quan Hóa , ngày 27 tháng 08 năm 2014</v>
      </c>
      <c r="G403" s="479"/>
      <c r="H403" s="479"/>
      <c r="I403" s="479"/>
    </row>
    <row r="404" spans="1:10" ht="19.5">
      <c r="A404" s="472" t="str">
        <f>"BIÊN BẢN SỐ: "&amp;VLOOKUP($J$404,CBBT,8,0)&amp;"/CBBT"</f>
        <v>BIÊN BẢN SỐ: 4/CBTH3PC/CBBT</v>
      </c>
      <c r="B404" s="472"/>
      <c r="C404" s="472"/>
      <c r="D404" s="472"/>
      <c r="E404" s="472"/>
      <c r="F404" s="472"/>
      <c r="G404" s="472"/>
      <c r="H404" s="472"/>
      <c r="I404" s="472"/>
      <c r="J404" s="283">
        <f>MHCBBT</f>
        <v>2</v>
      </c>
    </row>
    <row r="405" spans="1:10" ht="19.5">
      <c r="A405" s="472" t="s">
        <v>1264</v>
      </c>
      <c r="B405" s="472"/>
      <c r="C405" s="472"/>
      <c r="D405" s="472"/>
      <c r="E405" s="472"/>
      <c r="F405" s="472"/>
      <c r="G405" s="472"/>
      <c r="H405" s="472"/>
      <c r="I405" s="472"/>
    </row>
    <row r="406" spans="1:10" ht="8.25" customHeight="1">
      <c r="A406" s="223"/>
      <c r="B406" s="223"/>
    </row>
    <row r="407" spans="1:10" ht="24" customHeight="1">
      <c r="A407" s="224" t="s">
        <v>1179</v>
      </c>
      <c r="B407" s="224"/>
      <c r="D407" s="225"/>
    </row>
    <row r="408" spans="1:10" ht="24" customHeight="1">
      <c r="A408" s="224" t="s">
        <v>1180</v>
      </c>
      <c r="B408" s="224"/>
      <c r="D408" s="225"/>
    </row>
    <row r="409" spans="1:10" ht="24" customHeight="1">
      <c r="A409" s="224" t="s">
        <v>1181</v>
      </c>
      <c r="B409" s="224"/>
    </row>
    <row r="410" spans="1:10" ht="24" customHeight="1">
      <c r="A410" s="224" t="s">
        <v>1182</v>
      </c>
      <c r="B410" s="224"/>
    </row>
    <row r="411" spans="1:10" ht="8.25" customHeight="1">
      <c r="A411" s="224"/>
      <c r="B411" s="224"/>
    </row>
    <row r="412" spans="1:10" ht="16.5">
      <c r="A412" s="224" t="s">
        <v>1265</v>
      </c>
      <c r="B412" s="224"/>
    </row>
    <row r="413" spans="1:10" ht="32.25" customHeight="1">
      <c r="A413" s="473" t="str">
        <f>"- "&amp;VLOOKUP($J$404,CBBT,4,0)&amp;", "&amp;VITRI</f>
        <v>- Kiểm tra công tác chuẩn bị đổ bê tông giằng móng, Nhà tiểu học 3 phòng</v>
      </c>
      <c r="B413" s="473"/>
      <c r="C413" s="473"/>
      <c r="D413" s="473"/>
      <c r="E413" s="473"/>
      <c r="F413" s="473"/>
      <c r="G413" s="473"/>
      <c r="H413" s="473"/>
      <c r="I413" s="473"/>
    </row>
    <row r="414" spans="1:10" ht="20.25" customHeight="1">
      <c r="A414" s="224" t="s">
        <v>1185</v>
      </c>
      <c r="B414" s="224"/>
    </row>
    <row r="415" spans="1:10" ht="21.75" customHeight="1">
      <c r="A415" s="226" t="s">
        <v>1186</v>
      </c>
      <c r="B415" s="226"/>
    </row>
    <row r="416" spans="1:10" ht="21.75" customHeight="1">
      <c r="A416" s="239" t="s">
        <v>1359</v>
      </c>
      <c r="B416" s="262" t="str">
        <f>TPCDT</f>
        <v>..........................................</v>
      </c>
      <c r="F416" s="335" t="str">
        <f>"Chức vụ: "&amp;CVCDT</f>
        <v>Chức vụ: .................................</v>
      </c>
    </row>
    <row r="417" spans="1:9" ht="21.75" customHeight="1">
      <c r="A417" s="225" t="s">
        <v>1187</v>
      </c>
      <c r="B417" s="225"/>
      <c r="F417" s="351" t="s">
        <v>1188</v>
      </c>
    </row>
    <row r="418" spans="1:9" ht="21.75" customHeight="1">
      <c r="A418" s="226" t="s">
        <v>1189</v>
      </c>
      <c r="B418" s="226"/>
    </row>
    <row r="419" spans="1:9" ht="21.75" customHeight="1">
      <c r="A419" s="370" t="s">
        <v>1360</v>
      </c>
      <c r="B419" s="369" t="s">
        <v>1757</v>
      </c>
      <c r="F419" s="369" t="s">
        <v>1903</v>
      </c>
    </row>
    <row r="420" spans="1:9" ht="21.75" customHeight="1">
      <c r="A420" s="370" t="s">
        <v>1360</v>
      </c>
      <c r="B420" s="369" t="s">
        <v>1902</v>
      </c>
      <c r="F420" s="369" t="s">
        <v>1903</v>
      </c>
    </row>
    <row r="421" spans="1:9" ht="21.75" customHeight="1">
      <c r="A421" s="226" t="s">
        <v>1190</v>
      </c>
      <c r="B421" s="226"/>
    </row>
    <row r="422" spans="1:9" ht="21.75" customHeight="1">
      <c r="A422" s="225" t="s">
        <v>1359</v>
      </c>
      <c r="B422" s="225" t="str">
        <f>TPDVTC</f>
        <v>Lê Văn Thái</v>
      </c>
      <c r="F422" s="225" t="s">
        <v>1191</v>
      </c>
    </row>
    <row r="423" spans="1:9" ht="21.75" customHeight="1">
      <c r="A423" s="225" t="s">
        <v>1187</v>
      </c>
      <c r="B423" s="225"/>
      <c r="F423" s="351" t="s">
        <v>1188</v>
      </c>
    </row>
    <row r="424" spans="1:9" ht="9" customHeight="1">
      <c r="A424" s="225"/>
      <c r="B424" s="225"/>
      <c r="F424" s="225"/>
    </row>
    <row r="425" spans="1:9" ht="20.25" customHeight="1">
      <c r="A425" s="224" t="s">
        <v>1192</v>
      </c>
      <c r="B425" s="224"/>
    </row>
    <row r="426" spans="1:9" ht="23.25" customHeight="1">
      <c r="A426" s="225" t="str">
        <f>"Bắt đầu: "&amp;VLOOKUP($J$404,CBBT,12,0)&amp;", ngày "&amp;VLOOKUP($J$404,CBBT,14,0)&amp;" tháng "&amp;VLOOKUP($J$404,CBBT,15,0)&amp;" năm 2014"</f>
        <v>Bắt đầu: 10 giờ 00, ngày 27 tháng 08 năm 2014</v>
      </c>
      <c r="B426" s="225"/>
    </row>
    <row r="427" spans="1:9" ht="23.25" customHeight="1">
      <c r="A427" s="225" t="str">
        <f>"Kết thúc: "&amp;VLOOKUP($J$404,CBBT,13,0)&amp;", ngày "&amp;VLOOKUP($J$404,CBBT,14,0)&amp;" tháng "&amp;VLOOKUP($J$404,CBBT,15,0)&amp;" năm 2014"</f>
        <v>Kết thúc: 11 giờ 00, ngày 27 tháng 08 năm 2014</v>
      </c>
      <c r="B427" s="225"/>
    </row>
    <row r="428" spans="1:9" ht="23.25" customHeight="1">
      <c r="A428" s="225" t="str">
        <f>A309</f>
        <v>Tại: Nhà tiểu học 3 phòng - Điểm TĐC Pom Chốn</v>
      </c>
      <c r="B428" s="225"/>
    </row>
    <row r="429" spans="1:9" ht="9" customHeight="1">
      <c r="A429" s="225"/>
      <c r="B429" s="225"/>
    </row>
    <row r="430" spans="1:9" ht="20.25" customHeight="1">
      <c r="A430" s="224" t="s">
        <v>1193</v>
      </c>
      <c r="B430" s="224"/>
    </row>
    <row r="431" spans="1:9" ht="21" customHeight="1">
      <c r="A431" s="474" t="str">
        <f>"- Phiếu yêu cầu nghiệm thu của nhà thầu thi công số : "&amp;VLOOKUP($J$404,CBBT,7,0)&amp;"/PYC"</f>
        <v>- Phiếu yêu cầu nghiệm thu của nhà thầu thi công số : 4/CBTH3PC/PYC</v>
      </c>
      <c r="B431" s="474"/>
      <c r="C431" s="474"/>
      <c r="D431" s="474"/>
      <c r="E431" s="474"/>
      <c r="F431" s="474"/>
      <c r="G431" s="474"/>
      <c r="H431" s="474"/>
      <c r="I431" s="474"/>
    </row>
    <row r="432" spans="1:9" ht="33.75" customHeight="1">
      <c r="A432" s="473" t="s">
        <v>1184</v>
      </c>
      <c r="B432" s="473"/>
      <c r="C432" s="473"/>
      <c r="D432" s="473"/>
      <c r="E432" s="473"/>
      <c r="F432" s="473"/>
      <c r="G432" s="473"/>
      <c r="H432" s="473"/>
      <c r="I432" s="473"/>
    </row>
    <row r="433" spans="1:9" ht="21.75" customHeight="1">
      <c r="A433" s="474" t="s">
        <v>1194</v>
      </c>
      <c r="B433" s="474"/>
      <c r="C433" s="474"/>
      <c r="D433" s="474"/>
      <c r="E433" s="474"/>
      <c r="F433" s="474"/>
      <c r="G433" s="474"/>
      <c r="H433" s="474"/>
      <c r="I433" s="474"/>
    </row>
    <row r="434" spans="1:9" ht="33.75" customHeight="1">
      <c r="A434" s="473" t="s">
        <v>1195</v>
      </c>
      <c r="B434" s="473"/>
      <c r="C434" s="473"/>
      <c r="D434" s="473"/>
      <c r="E434" s="473"/>
      <c r="F434" s="473"/>
      <c r="G434" s="473"/>
      <c r="H434" s="473"/>
      <c r="I434" s="473"/>
    </row>
    <row r="435" spans="1:9" ht="18" customHeight="1">
      <c r="A435" s="225" t="s">
        <v>1266</v>
      </c>
    </row>
    <row r="437" spans="1:9" ht="16.5">
      <c r="A437" s="224" t="s">
        <v>1267</v>
      </c>
    </row>
    <row r="438" spans="1:9" ht="8.25" customHeight="1">
      <c r="A438" s="224"/>
    </row>
    <row r="439" spans="1:9" ht="16.5">
      <c r="A439" s="487" t="s">
        <v>0</v>
      </c>
      <c r="B439" s="487" t="s">
        <v>1268</v>
      </c>
      <c r="C439" s="487"/>
      <c r="D439" s="487"/>
      <c r="E439" s="487"/>
      <c r="F439" s="487" t="s">
        <v>1199</v>
      </c>
      <c r="G439" s="487" t="s">
        <v>876</v>
      </c>
      <c r="H439" s="487" t="s">
        <v>1269</v>
      </c>
      <c r="I439" s="487"/>
    </row>
    <row r="440" spans="1:9" ht="16.5">
      <c r="A440" s="487"/>
      <c r="B440" s="487"/>
      <c r="C440" s="487"/>
      <c r="D440" s="487"/>
      <c r="E440" s="487"/>
      <c r="F440" s="487"/>
      <c r="G440" s="487"/>
      <c r="H440" s="233" t="s">
        <v>1203</v>
      </c>
      <c r="I440" s="233" t="s">
        <v>1204</v>
      </c>
    </row>
    <row r="441" spans="1:9" ht="16.5">
      <c r="A441" s="493" t="s">
        <v>1270</v>
      </c>
      <c r="B441" s="493"/>
      <c r="C441" s="493"/>
      <c r="D441" s="493"/>
      <c r="E441" s="493"/>
      <c r="F441" s="493"/>
      <c r="G441" s="493"/>
      <c r="H441" s="493"/>
      <c r="I441" s="493"/>
    </row>
    <row r="442" spans="1:9" ht="33" customHeight="1">
      <c r="A442" s="234">
        <v>1</v>
      </c>
      <c r="B442" s="488" t="str">
        <f>"Bảng thiết kế cấp phối
Bê tông "&amp;VLOOKUP($J$404,CBBT,20,0)</f>
        <v>Bảng thiết kế cấp phối
Bê tông Mác 200#</v>
      </c>
      <c r="C442" s="488"/>
      <c r="D442" s="488"/>
      <c r="E442" s="488"/>
      <c r="F442" s="234" t="s">
        <v>1271</v>
      </c>
      <c r="G442" s="234">
        <v>1</v>
      </c>
      <c r="H442" s="234" t="s">
        <v>1230</v>
      </c>
      <c r="I442" s="234"/>
    </row>
    <row r="443" spans="1:9" ht="16.5">
      <c r="A443" s="234">
        <v>2</v>
      </c>
      <c r="B443" s="494" t="str">
        <f>"Xi măng "&amp;VLOOKUP($J$404,CBBT,21,0)</f>
        <v>Xi măng The Vissai PCB30</v>
      </c>
      <c r="C443" s="494"/>
      <c r="D443" s="494"/>
      <c r="E443" s="494"/>
      <c r="F443" s="234" t="s">
        <v>1272</v>
      </c>
      <c r="G443" s="334">
        <f>VLOOKUP($J$404,CBBT,25,0)</f>
        <v>699.05</v>
      </c>
      <c r="H443" s="234" t="s">
        <v>1230</v>
      </c>
      <c r="I443" s="234"/>
    </row>
    <row r="444" spans="1:9" ht="16.5">
      <c r="A444" s="234">
        <v>3</v>
      </c>
      <c r="B444" s="494" t="s">
        <v>1273</v>
      </c>
      <c r="C444" s="494"/>
      <c r="D444" s="494"/>
      <c r="E444" s="494"/>
      <c r="F444" s="234" t="s">
        <v>1274</v>
      </c>
      <c r="G444" s="334">
        <f>VLOOKUP($J$404,CBBT,26,0)</f>
        <v>0.92</v>
      </c>
      <c r="H444" s="234" t="s">
        <v>1230</v>
      </c>
      <c r="I444" s="234"/>
    </row>
    <row r="445" spans="1:9" ht="16.5">
      <c r="A445" s="234">
        <v>4</v>
      </c>
      <c r="B445" s="494" t="str">
        <f>VLOOKUP($J$404,CBBT,23,0)</f>
        <v>Đá 1x2cm</v>
      </c>
      <c r="C445" s="494"/>
      <c r="D445" s="494"/>
      <c r="E445" s="494"/>
      <c r="F445" s="234" t="s">
        <v>1274</v>
      </c>
      <c r="G445" s="334">
        <f>VLOOKUP($J$404,CBBT,27,0)</f>
        <v>1.78</v>
      </c>
      <c r="H445" s="234" t="s">
        <v>1230</v>
      </c>
      <c r="I445" s="234"/>
    </row>
    <row r="446" spans="1:9" ht="16.5">
      <c r="A446" s="234">
        <v>5</v>
      </c>
      <c r="B446" s="494" t="s">
        <v>28</v>
      </c>
      <c r="C446" s="494"/>
      <c r="D446" s="494"/>
      <c r="E446" s="494"/>
      <c r="F446" s="234" t="s">
        <v>1275</v>
      </c>
      <c r="G446" s="334">
        <f>VLOOKUP($J$404,CBBT,28,0)</f>
        <v>399.75</v>
      </c>
      <c r="H446" s="234" t="s">
        <v>1230</v>
      </c>
      <c r="I446" s="234"/>
    </row>
    <row r="447" spans="1:9" ht="16.5">
      <c r="A447" s="493" t="s">
        <v>1276</v>
      </c>
      <c r="B447" s="493"/>
      <c r="C447" s="493"/>
      <c r="D447" s="493"/>
      <c r="E447" s="493"/>
      <c r="F447" s="493"/>
      <c r="G447" s="493"/>
      <c r="H447" s="493"/>
      <c r="I447" s="493"/>
    </row>
    <row r="448" spans="1:9" ht="16.5">
      <c r="A448" s="234">
        <v>1</v>
      </c>
      <c r="B448" s="494" t="s">
        <v>1277</v>
      </c>
      <c r="C448" s="494"/>
      <c r="D448" s="494"/>
      <c r="E448" s="494"/>
      <c r="F448" s="234" t="s">
        <v>1278</v>
      </c>
      <c r="G448" s="234">
        <v>15</v>
      </c>
      <c r="H448" s="234" t="s">
        <v>1230</v>
      </c>
      <c r="I448" s="234"/>
    </row>
    <row r="449" spans="1:10" ht="16.5">
      <c r="A449" s="234">
        <v>2</v>
      </c>
      <c r="B449" s="494" t="s">
        <v>1279</v>
      </c>
      <c r="C449" s="494"/>
      <c r="D449" s="494"/>
      <c r="E449" s="494"/>
      <c r="F449" s="234" t="s">
        <v>1280</v>
      </c>
      <c r="G449" s="234">
        <v>1</v>
      </c>
      <c r="H449" s="234" t="s">
        <v>1230</v>
      </c>
      <c r="I449" s="234"/>
    </row>
    <row r="450" spans="1:10" ht="33">
      <c r="A450" s="234">
        <v>3</v>
      </c>
      <c r="B450" s="494" t="s">
        <v>1281</v>
      </c>
      <c r="C450" s="494"/>
      <c r="D450" s="494"/>
      <c r="E450" s="494"/>
      <c r="F450" s="236" t="s">
        <v>1282</v>
      </c>
      <c r="G450" s="234">
        <v>1</v>
      </c>
      <c r="H450" s="234" t="s">
        <v>1230</v>
      </c>
      <c r="I450" s="234"/>
      <c r="J450" s="220"/>
    </row>
    <row r="451" spans="1:10" ht="16.5">
      <c r="A451" s="234">
        <v>4</v>
      </c>
      <c r="B451" s="494" t="s">
        <v>1283</v>
      </c>
      <c r="C451" s="494"/>
      <c r="D451" s="494"/>
      <c r="E451" s="494"/>
      <c r="F451" s="234" t="s">
        <v>1284</v>
      </c>
      <c r="G451" s="234">
        <v>3</v>
      </c>
      <c r="H451" s="234" t="s">
        <v>1230</v>
      </c>
      <c r="I451" s="234"/>
    </row>
    <row r="452" spans="1:10" ht="16.5">
      <c r="A452" s="234">
        <v>5</v>
      </c>
      <c r="B452" s="494" t="s">
        <v>1285</v>
      </c>
      <c r="C452" s="494"/>
      <c r="D452" s="494"/>
      <c r="E452" s="494"/>
      <c r="F452" s="234" t="s">
        <v>1271</v>
      </c>
      <c r="G452" s="234">
        <v>3</v>
      </c>
      <c r="H452" s="234" t="s">
        <v>1230</v>
      </c>
      <c r="I452" s="234"/>
    </row>
    <row r="453" spans="1:10" ht="16.5">
      <c r="A453" s="234">
        <v>6</v>
      </c>
      <c r="B453" s="494" t="s">
        <v>1286</v>
      </c>
      <c r="C453" s="494"/>
      <c r="D453" s="494"/>
      <c r="E453" s="494"/>
      <c r="F453" s="234" t="s">
        <v>1271</v>
      </c>
      <c r="G453" s="234">
        <v>5</v>
      </c>
      <c r="H453" s="234" t="s">
        <v>1230</v>
      </c>
      <c r="I453" s="234"/>
    </row>
    <row r="454" spans="1:10" ht="16.5">
      <c r="A454" s="234">
        <v>7</v>
      </c>
      <c r="B454" s="494" t="s">
        <v>1287</v>
      </c>
      <c r="C454" s="494"/>
      <c r="D454" s="494"/>
      <c r="E454" s="494"/>
      <c r="F454" s="234" t="s">
        <v>1271</v>
      </c>
      <c r="G454" s="234">
        <v>8</v>
      </c>
      <c r="H454" s="234" t="s">
        <v>1230</v>
      </c>
      <c r="I454" s="234"/>
    </row>
    <row r="455" spans="1:10" ht="7.5" customHeight="1"/>
    <row r="456" spans="1:10" ht="19.5" customHeight="1">
      <c r="A456" s="224" t="s">
        <v>1288</v>
      </c>
    </row>
    <row r="457" spans="1:10" ht="19.5" customHeight="1">
      <c r="A457" s="224" t="s">
        <v>1289</v>
      </c>
    </row>
    <row r="458" spans="1:10" ht="19.5" customHeight="1">
      <c r="A458" s="225" t="s">
        <v>1290</v>
      </c>
    </row>
    <row r="459" spans="1:10" ht="19.5" customHeight="1">
      <c r="A459" s="225" t="s">
        <v>1291</v>
      </c>
    </row>
    <row r="460" spans="1:10" ht="9" customHeight="1"/>
    <row r="461" spans="1:10" s="230" customFormat="1" ht="16.5" customHeight="1">
      <c r="A461" s="480" t="s">
        <v>1214</v>
      </c>
      <c r="B461" s="480"/>
      <c r="C461" s="480"/>
      <c r="D461" s="480"/>
      <c r="E461" s="480"/>
      <c r="F461" s="480"/>
      <c r="G461" s="480"/>
      <c r="H461" s="480"/>
      <c r="I461" s="480"/>
      <c r="J461" s="285"/>
    </row>
    <row r="462" spans="1:10" s="230" customFormat="1" ht="15.75">
      <c r="A462" s="480" t="s">
        <v>1170</v>
      </c>
      <c r="B462" s="480"/>
      <c r="C462" s="480"/>
      <c r="D462" s="480"/>
      <c r="E462" s="481" t="s">
        <v>872</v>
      </c>
      <c r="F462" s="481"/>
      <c r="G462" s="480" t="s">
        <v>1215</v>
      </c>
      <c r="H462" s="480"/>
      <c r="I462" s="480"/>
      <c r="J462" s="285"/>
    </row>
    <row r="468" spans="1:10" s="230" customFormat="1" ht="15.75">
      <c r="A468" s="480" t="str">
        <f>TPCDT</f>
        <v>..........................................</v>
      </c>
      <c r="B468" s="480"/>
      <c r="C468" s="480"/>
      <c r="D468" s="480"/>
      <c r="E468" s="481" t="str">
        <f>TPTVGS</f>
        <v>..........................................</v>
      </c>
      <c r="F468" s="481"/>
      <c r="G468" s="480" t="str">
        <f>TPDVTC</f>
        <v>Lê Văn Thái</v>
      </c>
      <c r="H468" s="480"/>
      <c r="I468" s="480"/>
      <c r="J468" s="285"/>
    </row>
    <row r="483" spans="1:10">
      <c r="A483" s="248"/>
      <c r="B483" s="248"/>
      <c r="C483" s="248"/>
      <c r="D483" s="248"/>
      <c r="E483" s="248"/>
      <c r="F483" s="248"/>
      <c r="G483" s="248"/>
      <c r="H483" s="248"/>
      <c r="I483" s="248"/>
    </row>
    <row r="484" spans="1:10" customFormat="1" ht="16.5">
      <c r="A484" s="476" t="s">
        <v>1396</v>
      </c>
      <c r="B484" s="476"/>
      <c r="C484" s="476"/>
      <c r="D484" s="248"/>
      <c r="E484" s="476" t="s">
        <v>1174</v>
      </c>
      <c r="F484" s="476"/>
      <c r="G484" s="476"/>
      <c r="H484" s="476"/>
      <c r="I484" s="476"/>
      <c r="J484" s="284"/>
    </row>
    <row r="485" spans="1:10" customFormat="1" ht="18.75">
      <c r="A485" s="478" t="s">
        <v>1397</v>
      </c>
      <c r="B485" s="478"/>
      <c r="C485" s="478"/>
      <c r="D485" s="220"/>
      <c r="E485" s="470" t="s">
        <v>1176</v>
      </c>
      <c r="F485" s="470"/>
      <c r="G485" s="470"/>
      <c r="H485" s="470"/>
      <c r="I485" s="470"/>
      <c r="J485" s="284"/>
    </row>
    <row r="486" spans="1:10" customFormat="1" ht="16.5">
      <c r="A486" s="478" t="s">
        <v>1398</v>
      </c>
      <c r="B486" s="478"/>
      <c r="C486" s="478"/>
      <c r="J486" s="284"/>
    </row>
    <row r="487" spans="1:10" customFormat="1" ht="16.5">
      <c r="A487" s="280"/>
      <c r="B487" s="266"/>
      <c r="E487" s="492" t="str">
        <f>"Quan Hóa , ngày "&amp;VLOOKUP($J$526,GSBT,9,0)&amp;" tháng "&amp;VLOOKUP($J$526,GSBT,10,0)&amp;" năm 2014"</f>
        <v>Quan Hóa , ngày 26 tháng 08 năm 2014</v>
      </c>
      <c r="F487" s="492"/>
      <c r="G487" s="492"/>
      <c r="H487" s="492"/>
      <c r="I487" s="492"/>
      <c r="J487" s="284"/>
    </row>
    <row r="488" spans="1:10" customFormat="1" ht="6.75" customHeight="1">
      <c r="A488" s="280"/>
      <c r="J488" s="284"/>
    </row>
    <row r="489" spans="1:10" customFormat="1" ht="18.75">
      <c r="A489" s="470" t="str">
        <f>"PHIẾU YÊU CẦU SỐ: "&amp;VLOOKUP($J$526,GSBT,7,0)&amp;"/PYC"</f>
        <v>PHIẾU YÊU CẦU SỐ: 4/GSTH3PC/PYC</v>
      </c>
      <c r="B489" s="470"/>
      <c r="C489" s="470"/>
      <c r="D489" s="470"/>
      <c r="E489" s="470"/>
      <c r="F489" s="470"/>
      <c r="G489" s="470"/>
      <c r="H489" s="470"/>
      <c r="I489" s="470"/>
      <c r="J489" s="284"/>
    </row>
    <row r="490" spans="1:10" customFormat="1" ht="17.25">
      <c r="A490" s="471" t="str">
        <f>"("&amp;VLOOKUP($J$526,GSBT,4,0)&amp;" và lấy mẫu bê tông)"</f>
        <v>(Giám sát quá trình đổ bê tông giằng móng và lấy mẫu bê tông)</v>
      </c>
      <c r="B490" s="471"/>
      <c r="C490" s="471"/>
      <c r="D490" s="471"/>
      <c r="E490" s="471"/>
      <c r="F490" s="471"/>
      <c r="G490" s="471"/>
      <c r="H490" s="471"/>
      <c r="I490" s="471"/>
      <c r="J490" s="284"/>
    </row>
    <row r="491" spans="1:10" customFormat="1" ht="7.5" customHeight="1">
      <c r="A491" s="226"/>
      <c r="B491" s="220"/>
      <c r="J491" s="284"/>
    </row>
    <row r="492" spans="1:10" customFormat="1" ht="16.5">
      <c r="A492" s="224" t="s">
        <v>1179</v>
      </c>
      <c r="B492" s="266"/>
      <c r="J492" s="284"/>
    </row>
    <row r="493" spans="1:10" customFormat="1" ht="16.5">
      <c r="A493" s="224" t="s">
        <v>1412</v>
      </c>
      <c r="B493" s="266"/>
      <c r="J493" s="284"/>
    </row>
    <row r="494" spans="1:10" customFormat="1" ht="16.5">
      <c r="A494" s="224" t="s">
        <v>1399</v>
      </c>
      <c r="B494" s="220"/>
      <c r="J494" s="284"/>
    </row>
    <row r="495" spans="1:10" customFormat="1" ht="16.5">
      <c r="A495" s="224" t="s">
        <v>1400</v>
      </c>
      <c r="B495" s="220"/>
      <c r="J495" s="284"/>
    </row>
    <row r="496" spans="1:10" customFormat="1" ht="8.25" customHeight="1">
      <c r="A496" s="266"/>
      <c r="B496" s="220"/>
      <c r="J496" s="284"/>
    </row>
    <row r="497" spans="1:10" customFormat="1" ht="16.5">
      <c r="A497" s="224" t="s">
        <v>1401</v>
      </c>
      <c r="B497" s="220"/>
      <c r="C497" s="266" t="s">
        <v>1402</v>
      </c>
      <c r="J497" s="284"/>
    </row>
    <row r="498" spans="1:10" customFormat="1" ht="16.5">
      <c r="A498" s="220"/>
      <c r="B498" s="220"/>
      <c r="C498" s="266" t="s">
        <v>1403</v>
      </c>
      <c r="J498" s="284"/>
    </row>
    <row r="499" spans="1:10" customFormat="1" ht="6.75" customHeight="1">
      <c r="A499" s="277"/>
      <c r="B499" s="220"/>
      <c r="J499" s="284"/>
    </row>
    <row r="500" spans="1:10" customFormat="1" ht="49.5" customHeight="1">
      <c r="A500" s="473" t="s">
        <v>1420</v>
      </c>
      <c r="B500" s="473"/>
      <c r="C500" s="473"/>
      <c r="D500" s="473"/>
      <c r="E500" s="473"/>
      <c r="F500" s="473"/>
      <c r="G500" s="473"/>
      <c r="H500" s="473"/>
      <c r="I500" s="473"/>
      <c r="J500" s="284"/>
    </row>
    <row r="501" spans="1:10" customFormat="1" ht="16.5">
      <c r="A501" s="473" t="s">
        <v>1414</v>
      </c>
      <c r="B501" s="473"/>
      <c r="C501" s="473"/>
      <c r="D501" s="473"/>
      <c r="E501" s="473"/>
      <c r="F501" s="473"/>
      <c r="G501" s="473"/>
      <c r="H501" s="473"/>
      <c r="I501" s="473"/>
      <c r="J501" s="284"/>
    </row>
    <row r="502" spans="1:10" customFormat="1" ht="35.25" customHeight="1">
      <c r="A502" s="485" t="str">
        <f>"    "&amp;VLOOKUP($J$526,GSBT,4,0)&amp;", và lấy mẫu bê tông, "&amp;VITRI&amp;", "&amp;DIEMTDC</f>
        <v xml:space="preserve">    Giám sát quá trình đổ bê tông giằng móng, và lấy mẫu bê tông, Nhà tiểu học 3 phòng, Điểm TĐC Pom Chốn</v>
      </c>
      <c r="B502" s="485"/>
      <c r="C502" s="485"/>
      <c r="D502" s="485"/>
      <c r="E502" s="485"/>
      <c r="F502" s="485"/>
      <c r="G502" s="485"/>
      <c r="H502" s="485"/>
      <c r="I502" s="485"/>
      <c r="J502" s="284"/>
    </row>
    <row r="503" spans="1:10" customFormat="1" ht="18.75" customHeight="1">
      <c r="A503" s="266" t="s">
        <v>1415</v>
      </c>
      <c r="B503" s="220"/>
      <c r="J503" s="284"/>
    </row>
    <row r="504" spans="1:10" customFormat="1" ht="18.75" customHeight="1">
      <c r="A504" s="266" t="str">
        <f>"     Thời gian: "&amp;VLOOKUP($J$526,GSBT,12,0)&amp;", ngày "&amp;VLOOKUP($J$526,GSBT,14,0)&amp;" tháng "&amp;VLOOKUP($J$526,GSBT,15,0)&amp;" năm 2014"</f>
        <v xml:space="preserve">     Thời gian: 14 giờ 00, ngày 27 tháng 08 năm 2014</v>
      </c>
      <c r="B504" s="220"/>
      <c r="J504" s="284"/>
    </row>
    <row r="505" spans="1:10" customFormat="1" ht="18.75" customHeight="1">
      <c r="A505" s="266" t="str">
        <f>"     Tại lô nhà "&amp;VITRI&amp;", "&amp;DIEMTDC</f>
        <v xml:space="preserve">     Tại lô nhà Nhà tiểu học 3 phòng, Điểm TĐC Pom Chốn</v>
      </c>
      <c r="B505" s="220"/>
      <c r="J505" s="284"/>
    </row>
    <row r="506" spans="1:10" customFormat="1" ht="16.5">
      <c r="A506" s="221" t="s">
        <v>1404</v>
      </c>
      <c r="B506" s="220"/>
      <c r="J506" s="284"/>
    </row>
    <row r="507" spans="1:10" customFormat="1" ht="16.5">
      <c r="A507" s="266"/>
      <c r="B507" s="220"/>
      <c r="J507" s="284"/>
    </row>
    <row r="508" spans="1:10" customFormat="1" ht="16.5">
      <c r="A508" s="278" t="s">
        <v>1405</v>
      </c>
      <c r="E508" s="478" t="s">
        <v>1408</v>
      </c>
      <c r="F508" s="478"/>
      <c r="G508" s="478"/>
      <c r="H508" s="478"/>
      <c r="J508" s="284"/>
    </row>
    <row r="509" spans="1:10" customFormat="1" ht="16.5">
      <c r="A509" s="279" t="s">
        <v>1406</v>
      </c>
      <c r="E509" s="478" t="s">
        <v>1409</v>
      </c>
      <c r="F509" s="478"/>
      <c r="G509" s="478"/>
      <c r="H509" s="478"/>
      <c r="J509" s="284"/>
    </row>
    <row r="510" spans="1:10" customFormat="1" ht="16.5">
      <c r="A510" s="279" t="s">
        <v>1407</v>
      </c>
      <c r="B510" s="224"/>
      <c r="J510" s="284"/>
    </row>
    <row r="511" spans="1:10" customFormat="1" ht="16.5">
      <c r="A511" s="232"/>
      <c r="B511" s="224"/>
      <c r="J511" s="284"/>
    </row>
    <row r="512" spans="1:10" customFormat="1" ht="16.5">
      <c r="A512" s="232"/>
      <c r="B512" s="224"/>
      <c r="J512" s="284"/>
    </row>
    <row r="513" spans="1:10" customFormat="1" ht="16.5">
      <c r="A513" s="232"/>
      <c r="B513" s="224"/>
      <c r="J513" s="284"/>
    </row>
    <row r="514" spans="1:10" customFormat="1" ht="14.25" customHeight="1">
      <c r="A514" s="232"/>
      <c r="E514" s="478" t="s">
        <v>1410</v>
      </c>
      <c r="F514" s="478"/>
      <c r="G514" s="478"/>
      <c r="H514" s="478"/>
      <c r="J514" s="284"/>
    </row>
    <row r="515" spans="1:10" customFormat="1" ht="16.5">
      <c r="A515" s="232"/>
      <c r="B515" s="224"/>
      <c r="J515" s="284"/>
    </row>
    <row r="516" spans="1:10" customFormat="1" ht="16.5">
      <c r="A516" s="224" t="s">
        <v>1411</v>
      </c>
      <c r="B516" s="220"/>
      <c r="J516" s="284"/>
    </row>
    <row r="517" spans="1:10" customFormat="1" ht="21" customHeight="1">
      <c r="A517" t="s">
        <v>1413</v>
      </c>
      <c r="J517" s="284"/>
    </row>
    <row r="518" spans="1:10" customFormat="1" ht="21" customHeight="1">
      <c r="A518" t="s">
        <v>1413</v>
      </c>
      <c r="J518" s="284"/>
    </row>
    <row r="519" spans="1:10" customFormat="1" ht="21" customHeight="1">
      <c r="A519" t="s">
        <v>1413</v>
      </c>
      <c r="J519" s="284"/>
    </row>
    <row r="520" spans="1:10" customFormat="1" ht="14.25">
      <c r="J520" s="284"/>
    </row>
    <row r="521" spans="1:10" customFormat="1" ht="14.25">
      <c r="A521" s="127"/>
      <c r="B521" s="127"/>
      <c r="C521" s="127"/>
      <c r="D521" s="127"/>
      <c r="E521" s="127"/>
      <c r="F521" s="127"/>
      <c r="G521" s="127"/>
      <c r="H521" s="127"/>
      <c r="I521" s="127"/>
      <c r="J521" s="284"/>
    </row>
    <row r="522" spans="1:10" ht="16.5">
      <c r="A522" s="475" t="s">
        <v>1173</v>
      </c>
      <c r="B522" s="475"/>
      <c r="C522" s="475"/>
      <c r="D522" s="475"/>
      <c r="E522" s="476" t="s">
        <v>1174</v>
      </c>
      <c r="F522" s="476"/>
      <c r="G522" s="476"/>
      <c r="H522" s="476"/>
      <c r="I522" s="476"/>
    </row>
    <row r="523" spans="1:10" ht="18.75">
      <c r="A523" s="482" t="s">
        <v>1175</v>
      </c>
      <c r="B523" s="482"/>
      <c r="C523" s="482"/>
      <c r="D523" s="482"/>
      <c r="E523" s="470" t="s">
        <v>1176</v>
      </c>
      <c r="F523" s="470"/>
      <c r="G523" s="470"/>
      <c r="H523" s="470"/>
      <c r="I523" s="470"/>
    </row>
    <row r="524" spans="1:10" ht="16.5">
      <c r="A524" s="478" t="s">
        <v>1177</v>
      </c>
      <c r="B524" s="478"/>
      <c r="C524" s="478"/>
      <c r="D524" s="478"/>
      <c r="G524" s="221"/>
    </row>
    <row r="525" spans="1:10" ht="18.75">
      <c r="A525" s="222"/>
      <c r="B525" s="222"/>
      <c r="F525" s="479" t="str">
        <f>"Quan Hóa , ngày "&amp;VLOOKUP($J$526,GSBT,14,0)&amp;" tháng "&amp;VLOOKUP($J$526,GSBT,15,0)&amp;" năm 2014"</f>
        <v>Quan Hóa , ngày 27 tháng 08 năm 2014</v>
      </c>
      <c r="G525" s="479"/>
      <c r="H525" s="479"/>
      <c r="I525" s="479"/>
    </row>
    <row r="526" spans="1:10" ht="19.5">
      <c r="A526" s="472" t="str">
        <f>"BIÊN BẢN SỐ: "&amp;VLOOKUP($J$526,GSBT,8,0)&amp;"/GSBT"</f>
        <v>BIÊN BẢN SỐ: 4/GSTH3PC/GSBT</v>
      </c>
      <c r="B526" s="472"/>
      <c r="C526" s="472"/>
      <c r="D526" s="472"/>
      <c r="E526" s="472"/>
      <c r="F526" s="472"/>
      <c r="G526" s="472"/>
      <c r="H526" s="472"/>
      <c r="I526" s="472"/>
      <c r="J526" s="283">
        <f>MHGSBT</f>
        <v>2</v>
      </c>
    </row>
    <row r="527" spans="1:10" ht="19.5">
      <c r="A527" s="472" t="s">
        <v>1292</v>
      </c>
      <c r="B527" s="472"/>
      <c r="C527" s="472"/>
      <c r="D527" s="472"/>
      <c r="E527" s="472"/>
      <c r="F527" s="472"/>
      <c r="G527" s="472"/>
      <c r="H527" s="472"/>
      <c r="I527" s="472"/>
    </row>
    <row r="528" spans="1:10" ht="8.25" customHeight="1">
      <c r="A528" s="223"/>
      <c r="B528" s="223"/>
    </row>
    <row r="529" spans="1:9" ht="21.75" customHeight="1">
      <c r="A529" s="224" t="s">
        <v>1179</v>
      </c>
      <c r="B529" s="224"/>
      <c r="D529" s="225"/>
    </row>
    <row r="530" spans="1:9" ht="21.75" customHeight="1">
      <c r="A530" s="224" t="s">
        <v>1180</v>
      </c>
      <c r="B530" s="224"/>
      <c r="D530" s="225"/>
    </row>
    <row r="531" spans="1:9" ht="21.75" customHeight="1">
      <c r="A531" s="224" t="s">
        <v>1181</v>
      </c>
      <c r="B531" s="224"/>
    </row>
    <row r="532" spans="1:9" ht="21.75" customHeight="1">
      <c r="A532" s="224" t="s">
        <v>1182</v>
      </c>
      <c r="B532" s="224"/>
    </row>
    <row r="533" spans="1:9" ht="8.25" customHeight="1">
      <c r="A533" s="224"/>
      <c r="B533" s="224"/>
    </row>
    <row r="534" spans="1:9" ht="16.5">
      <c r="A534" s="224" t="s">
        <v>1183</v>
      </c>
      <c r="B534" s="224"/>
    </row>
    <row r="535" spans="1:9" ht="32.25" customHeight="1">
      <c r="A535" s="473" t="str">
        <f>"- "&amp;VLOOKUP($J$526,GSBT,4,0)&amp;", "&amp;VITRI</f>
        <v>- Giám sát quá trình đổ bê tông giằng móng, Nhà tiểu học 3 phòng</v>
      </c>
      <c r="B535" s="473"/>
      <c r="C535" s="473"/>
      <c r="D535" s="473"/>
      <c r="E535" s="473"/>
      <c r="F535" s="473"/>
      <c r="G535" s="473"/>
      <c r="H535" s="473"/>
      <c r="I535" s="473"/>
    </row>
    <row r="536" spans="1:9" ht="17.25" customHeight="1">
      <c r="A536" s="224" t="s">
        <v>1185</v>
      </c>
      <c r="B536" s="224"/>
    </row>
    <row r="537" spans="1:9" ht="17.25" customHeight="1">
      <c r="A537" s="226" t="s">
        <v>1186</v>
      </c>
      <c r="B537" s="226"/>
    </row>
    <row r="538" spans="1:9" ht="17.25" customHeight="1">
      <c r="A538" s="239" t="s">
        <v>1359</v>
      </c>
      <c r="B538" s="262" t="str">
        <f>TPCDT</f>
        <v>..........................................</v>
      </c>
      <c r="F538" s="335" t="str">
        <f>"Chức vụ: "&amp;CVCDT</f>
        <v>Chức vụ: .................................</v>
      </c>
    </row>
    <row r="539" spans="1:9" ht="17.25" customHeight="1">
      <c r="A539" s="225" t="s">
        <v>1187</v>
      </c>
      <c r="B539" s="225"/>
      <c r="F539" s="351" t="s">
        <v>1188</v>
      </c>
    </row>
    <row r="540" spans="1:9" ht="17.25" customHeight="1">
      <c r="A540" s="226" t="s">
        <v>1189</v>
      </c>
      <c r="B540" s="226"/>
    </row>
    <row r="541" spans="1:9" ht="21.75" customHeight="1">
      <c r="A541" s="370" t="s">
        <v>1360</v>
      </c>
      <c r="B541" s="369" t="s">
        <v>1757</v>
      </c>
      <c r="F541" s="369" t="s">
        <v>1903</v>
      </c>
    </row>
    <row r="542" spans="1:9" ht="21.75" customHeight="1">
      <c r="A542" s="370" t="s">
        <v>1360</v>
      </c>
      <c r="B542" s="369" t="s">
        <v>1902</v>
      </c>
      <c r="F542" s="369" t="s">
        <v>1903</v>
      </c>
    </row>
    <row r="543" spans="1:9" ht="17.25" customHeight="1">
      <c r="A543" s="226" t="s">
        <v>1190</v>
      </c>
      <c r="B543" s="226"/>
    </row>
    <row r="544" spans="1:9" ht="17.25" customHeight="1">
      <c r="A544" s="225" t="s">
        <v>1359</v>
      </c>
      <c r="B544" s="225" t="str">
        <f>TPDVTC</f>
        <v>Lê Văn Thái</v>
      </c>
      <c r="F544" s="225" t="s">
        <v>1191</v>
      </c>
    </row>
    <row r="545" spans="1:9" ht="17.25" customHeight="1">
      <c r="A545" s="225" t="s">
        <v>1187</v>
      </c>
      <c r="B545" s="225"/>
      <c r="F545" s="351" t="s">
        <v>1188</v>
      </c>
    </row>
    <row r="546" spans="1:9" ht="9" customHeight="1">
      <c r="A546" s="225"/>
      <c r="B546" s="225"/>
      <c r="F546" s="225"/>
    </row>
    <row r="547" spans="1:9" ht="20.25" customHeight="1">
      <c r="A547" s="224" t="s">
        <v>1192</v>
      </c>
      <c r="B547" s="224"/>
    </row>
    <row r="548" spans="1:9" ht="19.5" customHeight="1">
      <c r="A548" s="225" t="str">
        <f>"Bắt đầu: "&amp;VLOOKUP($J$526,GSBT,12,0)&amp;", ngày "&amp;VLOOKUP($J$526,GSBT,14,0)&amp;" tháng "&amp;VLOOKUP($J$526,GSBT,15,0)&amp;" năm 2014"</f>
        <v>Bắt đầu: 14 giờ 00, ngày 27 tháng 08 năm 2014</v>
      </c>
      <c r="B548" s="225"/>
    </row>
    <row r="549" spans="1:9" ht="19.5" customHeight="1">
      <c r="A549" s="225" t="str">
        <f>"Kết thúc: "&amp;VLOOKUP($J$526,GSBT,13,0)&amp;", ngày "&amp;VLOOKUP($J$526,GSBT,14,0)&amp;" tháng "&amp;VLOOKUP($J$526,GSBT,15,0)&amp;" năm 2014"</f>
        <v>Kết thúc: 16 giờ 00, ngày 27 tháng 08 năm 2014</v>
      </c>
      <c r="B549" s="225"/>
    </row>
    <row r="550" spans="1:9" ht="19.5" customHeight="1">
      <c r="A550" s="225" t="str">
        <f>A428</f>
        <v>Tại: Nhà tiểu học 3 phòng - Điểm TĐC Pom Chốn</v>
      </c>
      <c r="B550" s="225"/>
    </row>
    <row r="551" spans="1:9" ht="9" customHeight="1">
      <c r="A551" s="225"/>
      <c r="B551" s="225"/>
    </row>
    <row r="552" spans="1:9" ht="20.25" customHeight="1">
      <c r="A552" s="224" t="s">
        <v>1193</v>
      </c>
      <c r="B552" s="224"/>
    </row>
    <row r="553" spans="1:9" ht="22.5" customHeight="1">
      <c r="A553" s="474" t="str">
        <f>"- Phiếu yêu cầu nghiệm thu của nhà thầu thi công số : "&amp;VLOOKUP($J$526,GSBT,7,0)&amp;"/PYC"</f>
        <v>- Phiếu yêu cầu nghiệm thu của nhà thầu thi công số : 4/GSTH3PC/PYC</v>
      </c>
      <c r="B553" s="474"/>
      <c r="C553" s="474"/>
      <c r="D553" s="474"/>
      <c r="E553" s="474"/>
      <c r="F553" s="474"/>
      <c r="G553" s="474"/>
      <c r="H553" s="474"/>
      <c r="I553" s="474"/>
    </row>
    <row r="554" spans="1:9" ht="35.25" customHeight="1">
      <c r="A554" s="473" t="s">
        <v>1184</v>
      </c>
      <c r="B554" s="473"/>
      <c r="C554" s="473"/>
      <c r="D554" s="473"/>
      <c r="E554" s="473"/>
      <c r="F554" s="473"/>
      <c r="G554" s="473"/>
      <c r="H554" s="473"/>
      <c r="I554" s="473"/>
    </row>
    <row r="555" spans="1:9" ht="22.5" customHeight="1">
      <c r="A555" s="474" t="s">
        <v>1194</v>
      </c>
      <c r="B555" s="474"/>
      <c r="C555" s="474"/>
      <c r="D555" s="474"/>
      <c r="E555" s="474"/>
      <c r="F555" s="474"/>
      <c r="G555" s="474"/>
      <c r="H555" s="474"/>
      <c r="I555" s="474"/>
    </row>
    <row r="556" spans="1:9" ht="21" customHeight="1">
      <c r="A556" s="225" t="s">
        <v>1293</v>
      </c>
    </row>
    <row r="557" spans="1:9" ht="21" customHeight="1">
      <c r="A557" s="225" t="s">
        <v>1294</v>
      </c>
    </row>
    <row r="558" spans="1:9" ht="33" customHeight="1">
      <c r="A558" s="473" t="s">
        <v>1195</v>
      </c>
      <c r="B558" s="473"/>
      <c r="C558" s="473"/>
      <c r="D558" s="473"/>
      <c r="E558" s="473"/>
      <c r="F558" s="473"/>
      <c r="G558" s="473"/>
      <c r="H558" s="473"/>
      <c r="I558" s="473"/>
    </row>
    <row r="559" spans="1:9" ht="19.5" customHeight="1">
      <c r="A559" s="225" t="s">
        <v>1266</v>
      </c>
    </row>
    <row r="560" spans="1:9" ht="16.5">
      <c r="A560" s="224" t="s">
        <v>1295</v>
      </c>
    </row>
    <row r="561" spans="1:10" ht="7.5" customHeight="1">
      <c r="A561" s="224"/>
    </row>
    <row r="562" spans="1:10" ht="15.75">
      <c r="A562" s="495" t="s">
        <v>874</v>
      </c>
      <c r="B562" s="495" t="s">
        <v>1296</v>
      </c>
      <c r="C562" s="495"/>
      <c r="D562" s="495"/>
      <c r="E562" s="495"/>
      <c r="F562" s="495" t="s">
        <v>1297</v>
      </c>
      <c r="G562" s="495"/>
      <c r="H562" s="495" t="s">
        <v>1269</v>
      </c>
      <c r="I562" s="495"/>
    </row>
    <row r="563" spans="1:10" ht="31.5">
      <c r="A563" s="495"/>
      <c r="B563" s="495"/>
      <c r="C563" s="495"/>
      <c r="D563" s="495"/>
      <c r="E563" s="495"/>
      <c r="F563" s="228" t="s">
        <v>1298</v>
      </c>
      <c r="G563" s="228" t="s">
        <v>1299</v>
      </c>
      <c r="H563" s="228" t="s">
        <v>1203</v>
      </c>
      <c r="I563" s="228" t="s">
        <v>1204</v>
      </c>
    </row>
    <row r="564" spans="1:10" ht="15.75">
      <c r="A564" s="53" t="s">
        <v>1300</v>
      </c>
      <c r="B564" s="496" t="s">
        <v>1301</v>
      </c>
      <c r="C564" s="496"/>
      <c r="D564" s="496"/>
      <c r="E564" s="496"/>
      <c r="F564" s="496"/>
      <c r="G564" s="496"/>
      <c r="H564" s="496"/>
      <c r="I564" s="496"/>
    </row>
    <row r="565" spans="1:10" ht="16.5" customHeight="1">
      <c r="A565" s="237">
        <v>1</v>
      </c>
      <c r="B565" s="488" t="s">
        <v>1302</v>
      </c>
      <c r="C565" s="488"/>
      <c r="D565" s="488"/>
      <c r="E565" s="488"/>
      <c r="F565" s="237" t="s">
        <v>1230</v>
      </c>
      <c r="G565" s="237" t="s">
        <v>1230</v>
      </c>
      <c r="H565" s="237" t="s">
        <v>1230</v>
      </c>
      <c r="I565" s="237"/>
    </row>
    <row r="566" spans="1:10" ht="16.5" customHeight="1">
      <c r="A566" s="237">
        <v>2</v>
      </c>
      <c r="B566" s="488" t="s">
        <v>1303</v>
      </c>
      <c r="C566" s="488"/>
      <c r="D566" s="488"/>
      <c r="E566" s="488"/>
      <c r="F566" s="237" t="s">
        <v>1230</v>
      </c>
      <c r="G566" s="237" t="s">
        <v>1230</v>
      </c>
      <c r="H566" s="237" t="s">
        <v>1230</v>
      </c>
      <c r="I566" s="237"/>
    </row>
    <row r="567" spans="1:10" ht="30" customHeight="1">
      <c r="A567" s="237">
        <v>3</v>
      </c>
      <c r="B567" s="488" t="s">
        <v>1304</v>
      </c>
      <c r="C567" s="488"/>
      <c r="D567" s="488"/>
      <c r="E567" s="488"/>
      <c r="F567" s="237" t="s">
        <v>1230</v>
      </c>
      <c r="G567" s="237" t="s">
        <v>1230</v>
      </c>
      <c r="H567" s="237" t="s">
        <v>1230</v>
      </c>
      <c r="I567" s="237"/>
      <c r="J567" s="220"/>
    </row>
    <row r="568" spans="1:10" ht="17.25" customHeight="1">
      <c r="A568" s="237">
        <v>4</v>
      </c>
      <c r="B568" s="488" t="s">
        <v>1305</v>
      </c>
      <c r="C568" s="488"/>
      <c r="D568" s="488"/>
      <c r="E568" s="488"/>
      <c r="F568" s="237"/>
      <c r="G568" s="237"/>
      <c r="H568" s="237"/>
      <c r="I568" s="237"/>
    </row>
    <row r="569" spans="1:10" ht="17.25" customHeight="1">
      <c r="A569" s="237">
        <v>5</v>
      </c>
      <c r="B569" s="488" t="s">
        <v>1306</v>
      </c>
      <c r="C569" s="488"/>
      <c r="D569" s="488"/>
      <c r="E569" s="488"/>
      <c r="F569" s="237"/>
      <c r="G569" s="237"/>
      <c r="H569" s="237"/>
      <c r="I569" s="237"/>
    </row>
    <row r="570" spans="1:10" ht="36" customHeight="1">
      <c r="A570" s="237">
        <v>6</v>
      </c>
      <c r="B570" s="488" t="s">
        <v>1307</v>
      </c>
      <c r="C570" s="488"/>
      <c r="D570" s="488"/>
      <c r="E570" s="488"/>
      <c r="F570" s="237" t="s">
        <v>1230</v>
      </c>
      <c r="G570" s="237" t="s">
        <v>1230</v>
      </c>
      <c r="H570" s="237" t="s">
        <v>1230</v>
      </c>
      <c r="I570" s="237"/>
    </row>
    <row r="571" spans="1:10" ht="15.75">
      <c r="A571" s="53" t="s">
        <v>1308</v>
      </c>
      <c r="B571" s="496" t="s">
        <v>1309</v>
      </c>
      <c r="C571" s="496"/>
      <c r="D571" s="496"/>
      <c r="E571" s="496"/>
      <c r="F571" s="496"/>
      <c r="G571" s="496"/>
      <c r="H571" s="496"/>
      <c r="I571" s="496"/>
    </row>
    <row r="572" spans="1:10" s="238" customFormat="1" ht="16.5">
      <c r="A572" s="235">
        <v>1</v>
      </c>
      <c r="B572" s="497" t="s">
        <v>1310</v>
      </c>
      <c r="C572" s="498"/>
      <c r="D572" s="498"/>
      <c r="E572" s="498"/>
      <c r="F572" s="498"/>
      <c r="G572" s="498"/>
      <c r="H572" s="498"/>
      <c r="I572" s="499"/>
      <c r="J572" s="286"/>
    </row>
    <row r="573" spans="1:10" s="238" customFormat="1" ht="30.75" customHeight="1">
      <c r="A573" s="236">
        <v>1.1000000000000001</v>
      </c>
      <c r="B573" s="488" t="s">
        <v>1311</v>
      </c>
      <c r="C573" s="488"/>
      <c r="D573" s="488"/>
      <c r="E573" s="488"/>
      <c r="F573" s="236" t="s">
        <v>1230</v>
      </c>
      <c r="G573" s="236" t="s">
        <v>1230</v>
      </c>
      <c r="H573" s="236" t="s">
        <v>1230</v>
      </c>
      <c r="I573" s="236"/>
      <c r="J573" s="286"/>
    </row>
    <row r="574" spans="1:10" s="238" customFormat="1" ht="31.5" customHeight="1">
      <c r="A574" s="236">
        <v>1.2</v>
      </c>
      <c r="B574" s="488" t="s">
        <v>1312</v>
      </c>
      <c r="C574" s="488"/>
      <c r="D574" s="488"/>
      <c r="E574" s="488"/>
      <c r="F574" s="236" t="s">
        <v>1230</v>
      </c>
      <c r="G574" s="236" t="s">
        <v>1230</v>
      </c>
      <c r="H574" s="236" t="s">
        <v>1230</v>
      </c>
      <c r="I574" s="236"/>
      <c r="J574" s="286"/>
    </row>
    <row r="575" spans="1:10" s="238" customFormat="1" ht="16.5">
      <c r="A575" s="235">
        <v>2</v>
      </c>
      <c r="B575" s="500" t="s">
        <v>1313</v>
      </c>
      <c r="C575" s="500"/>
      <c r="D575" s="500"/>
      <c r="E575" s="500"/>
      <c r="F575" s="236"/>
      <c r="G575" s="236"/>
      <c r="H575" s="236"/>
      <c r="I575" s="236"/>
      <c r="J575" s="286"/>
    </row>
    <row r="576" spans="1:10" s="238" customFormat="1" ht="16.5">
      <c r="A576" s="236">
        <v>2.1</v>
      </c>
      <c r="B576" s="488" t="s">
        <v>1314</v>
      </c>
      <c r="C576" s="488"/>
      <c r="D576" s="488"/>
      <c r="E576" s="488"/>
      <c r="F576" s="236" t="s">
        <v>1230</v>
      </c>
      <c r="G576" s="236" t="s">
        <v>1230</v>
      </c>
      <c r="H576" s="236" t="s">
        <v>1230</v>
      </c>
      <c r="I576" s="236"/>
      <c r="J576" s="286"/>
    </row>
    <row r="577" spans="1:10" s="238" customFormat="1" ht="16.5">
      <c r="A577" s="236">
        <v>2.2000000000000002</v>
      </c>
      <c r="B577" s="488" t="s">
        <v>1315</v>
      </c>
      <c r="C577" s="488"/>
      <c r="D577" s="488"/>
      <c r="E577" s="488"/>
      <c r="F577" s="236" t="s">
        <v>1230</v>
      </c>
      <c r="G577" s="236" t="s">
        <v>1230</v>
      </c>
      <c r="H577" s="236" t="s">
        <v>1230</v>
      </c>
      <c r="I577" s="236"/>
      <c r="J577" s="286"/>
    </row>
    <row r="578" spans="1:10" ht="9" customHeight="1"/>
    <row r="579" spans="1:10" ht="17.25" customHeight="1">
      <c r="A579" s="224" t="s">
        <v>1316</v>
      </c>
    </row>
    <row r="580" spans="1:10" ht="17.25" customHeight="1">
      <c r="A580" s="225" t="s">
        <v>1317</v>
      </c>
    </row>
    <row r="581" spans="1:10" ht="17.25" customHeight="1">
      <c r="A581" s="225" t="str">
        <f>"2-  Bắt đầu đổ:"&amp;VLOOKUP($J$526,GSBT,12,0)&amp;", ngày "&amp;VLOOKUP($J$526,GSBT,14,0)&amp;" tháng "&amp;VLOOKUP($J$526,GSBT,15,0)&amp;" năm 2014"</f>
        <v>2-  Bắt đầu đổ:14 giờ 00, ngày 27 tháng 08 năm 2014</v>
      </c>
    </row>
    <row r="582" spans="1:10" ht="17.25" customHeight="1">
      <c r="A582" s="225" t="str">
        <f>"3-  Kết thúc đổ:"&amp;VLOOKUP($J$526,GSBT,13,0)&amp;", ngày "&amp;VLOOKUP($J$526,GSBT,14,0)&amp;" tháng "&amp;VLOOKUP($J$526,GSBT,15,0)&amp;" năm 2014"</f>
        <v>3-  Kết thúc đổ:16 giờ 00, ngày 27 tháng 08 năm 2014</v>
      </c>
    </row>
    <row r="583" spans="1:10" ht="17.25" customHeight="1">
      <c r="A583" s="225" t="s">
        <v>1361</v>
      </c>
      <c r="C583" s="251" t="str">
        <f>VLOOKUP($J$526,GSBT,20,0)&amp;", tính cho 1m3"</f>
        <v>Bê tông mác 200#, tính cho 1m3</v>
      </c>
    </row>
    <row r="584" spans="1:10" ht="17.25" customHeight="1">
      <c r="B584" s="225" t="s">
        <v>1318</v>
      </c>
      <c r="C584" s="225" t="str">
        <f>": "&amp;VLOOKUP($J$526,GSBT,26,0)</f>
        <v>: 341 (kg)</v>
      </c>
      <c r="E584" s="225" t="s">
        <v>20</v>
      </c>
      <c r="F584" s="225" t="str">
        <f>": "&amp;VLOOKUP($J$526,GSBT,27,0)</f>
        <v>: 0.45 (m3)</v>
      </c>
    </row>
    <row r="585" spans="1:10" ht="17.25" customHeight="1">
      <c r="A585" s="225"/>
      <c r="B585" s="225" t="s">
        <v>1319</v>
      </c>
      <c r="C585" s="225" t="str">
        <f>": "&amp;VLOOKUP($J$526,GSBT,28,0)</f>
        <v>: 0.866 (m3)</v>
      </c>
      <c r="E585" s="225" t="s">
        <v>28</v>
      </c>
      <c r="F585" s="225" t="str">
        <f>": "&amp;VLOOKUP($J$526,GSBT,29,0)</f>
        <v>: 195 lít</v>
      </c>
      <c r="H585" s="225" t="s">
        <v>1320</v>
      </c>
    </row>
    <row r="586" spans="1:10" ht="17.25" customHeight="1">
      <c r="A586" s="225" t="str">
        <f>"5-  Khối lượng bê tông thiết kế : "&amp;VLOOKUP($J$526,GSBT,23,0)&amp;" m3"</f>
        <v>5-  Khối lượng bê tông thiết kế : 2.05 m3</v>
      </c>
    </row>
    <row r="587" spans="1:10" ht="17.25" customHeight="1">
      <c r="A587" s="225" t="str">
        <f>"6-  Khối lượng bê tông thực tế: "&amp;VLOOKUP($J$526,GSBT,23,0)&amp;" m3"</f>
        <v>6-  Khối lượng bê tông thực tế: 2.05 m3</v>
      </c>
    </row>
    <row r="588" spans="1:10" ht="17.25" customHeight="1">
      <c r="A588" s="225" t="s">
        <v>1321</v>
      </c>
    </row>
    <row r="589" spans="1:10" ht="17.25" customHeight="1">
      <c r="A589" s="225" t="str">
        <f>"8-  Nhiệt độ môi trường: "&amp;VLOOKUP($J$526,GSBT,30,0)</f>
        <v>8-  Nhiệt độ môi trường: 29 độ C</v>
      </c>
    </row>
    <row r="590" spans="1:10" ht="7.5" customHeight="1">
      <c r="A590" s="224"/>
    </row>
    <row r="591" spans="1:10" ht="19.5" customHeight="1">
      <c r="A591" s="224" t="s">
        <v>1241</v>
      </c>
    </row>
    <row r="592" spans="1:10" ht="18.75" customHeight="1">
      <c r="A592" s="225" t="s">
        <v>1322</v>
      </c>
    </row>
    <row r="593" spans="1:10" ht="18.75" customHeight="1">
      <c r="A593" s="225" t="s">
        <v>1323</v>
      </c>
    </row>
    <row r="594" spans="1:10" ht="9" customHeight="1"/>
    <row r="595" spans="1:10" s="230" customFormat="1" ht="16.5" customHeight="1">
      <c r="A595" s="480" t="s">
        <v>1214</v>
      </c>
      <c r="B595" s="480"/>
      <c r="C595" s="480"/>
      <c r="D595" s="480"/>
      <c r="E595" s="480"/>
      <c r="F595" s="480"/>
      <c r="G595" s="480"/>
      <c r="H595" s="480"/>
      <c r="I595" s="480"/>
      <c r="J595" s="285"/>
    </row>
    <row r="596" spans="1:10" s="230" customFormat="1" ht="15.75">
      <c r="A596" s="480" t="s">
        <v>1170</v>
      </c>
      <c r="B596" s="480"/>
      <c r="C596" s="480"/>
      <c r="D596" s="480"/>
      <c r="E596" s="481" t="s">
        <v>872</v>
      </c>
      <c r="F596" s="481"/>
      <c r="G596" s="480" t="s">
        <v>1215</v>
      </c>
      <c r="H596" s="480"/>
      <c r="I596" s="480"/>
      <c r="J596" s="285"/>
    </row>
    <row r="601" spans="1:10" s="230" customFormat="1" ht="15.75">
      <c r="A601" s="480" t="str">
        <f>TPCDT</f>
        <v>..........................................</v>
      </c>
      <c r="B601" s="480"/>
      <c r="C601" s="480"/>
      <c r="D601" s="480"/>
      <c r="E601" s="501" t="str">
        <f>TPTVGS</f>
        <v>..........................................</v>
      </c>
      <c r="F601" s="501"/>
      <c r="G601" s="480" t="str">
        <f>TPDVTC</f>
        <v>Lê Văn Thái</v>
      </c>
      <c r="H601" s="480"/>
      <c r="I601" s="480"/>
      <c r="J601" s="285"/>
    </row>
    <row r="602" spans="1:10" ht="16.5">
      <c r="A602" s="475" t="s">
        <v>1173</v>
      </c>
      <c r="B602" s="475"/>
      <c r="C602" s="475"/>
      <c r="D602" s="475"/>
      <c r="E602" s="476" t="s">
        <v>1174</v>
      </c>
      <c r="F602" s="476"/>
      <c r="G602" s="476"/>
      <c r="H602" s="476"/>
      <c r="I602" s="476"/>
    </row>
    <row r="603" spans="1:10" ht="18.75">
      <c r="A603" s="482" t="s">
        <v>1175</v>
      </c>
      <c r="B603" s="482"/>
      <c r="C603" s="482"/>
      <c r="D603" s="482"/>
      <c r="E603" s="470" t="s">
        <v>1176</v>
      </c>
      <c r="F603" s="470"/>
      <c r="G603" s="470"/>
      <c r="H603" s="470"/>
      <c r="I603" s="470"/>
    </row>
    <row r="604" spans="1:10" ht="16.5">
      <c r="A604" s="478" t="s">
        <v>1177</v>
      </c>
      <c r="B604" s="478"/>
      <c r="C604" s="478"/>
      <c r="D604" s="478"/>
      <c r="G604" s="221"/>
    </row>
    <row r="605" spans="1:10" ht="18.75">
      <c r="A605" s="222"/>
      <c r="B605" s="222"/>
      <c r="F605" s="479" t="str">
        <f>"Quan Hóa , ngày "&amp;VLOOKUP($J$606,LMBT,14,0)&amp;" tháng "&amp;VLOOKUP($J$606,LMBT,15,0)&amp;" năm 2014"</f>
        <v>Quan Hóa , ngày 27 tháng 08 năm 2014</v>
      </c>
      <c r="G605" s="479"/>
      <c r="H605" s="479"/>
      <c r="I605" s="479"/>
    </row>
    <row r="606" spans="1:10" ht="19.5">
      <c r="A606" s="472" t="str">
        <f>"BIÊN BẢN SỐ: "&amp;VLOOKUP($J$606,LMBT,8,0)&amp;"/LMBT"</f>
        <v>BIÊN BẢN SỐ: 4/LMTH3PC/LMBT</v>
      </c>
      <c r="B606" s="472"/>
      <c r="C606" s="472"/>
      <c r="D606" s="472"/>
      <c r="E606" s="472"/>
      <c r="F606" s="472"/>
      <c r="G606" s="472"/>
      <c r="H606" s="472"/>
      <c r="I606" s="472"/>
      <c r="J606" s="283">
        <f>MHLMBT</f>
        <v>2</v>
      </c>
    </row>
    <row r="607" spans="1:10" ht="19.5">
      <c r="A607" s="472" t="s">
        <v>1324</v>
      </c>
      <c r="B607" s="472"/>
      <c r="C607" s="472"/>
      <c r="D607" s="472"/>
      <c r="E607" s="472"/>
      <c r="F607" s="472"/>
      <c r="G607" s="472"/>
      <c r="H607" s="472"/>
      <c r="I607" s="472"/>
    </row>
    <row r="608" spans="1:10" ht="8.25" customHeight="1">
      <c r="A608" s="223"/>
      <c r="B608" s="223"/>
    </row>
    <row r="609" spans="1:9" ht="21.75" customHeight="1">
      <c r="A609" s="224" t="s">
        <v>1179</v>
      </c>
      <c r="B609" s="224"/>
      <c r="D609" s="225"/>
    </row>
    <row r="610" spans="1:9" ht="21.75" customHeight="1">
      <c r="A610" s="224" t="s">
        <v>1180</v>
      </c>
      <c r="B610" s="224"/>
      <c r="D610" s="225"/>
    </row>
    <row r="611" spans="1:9" ht="21.75" customHeight="1">
      <c r="A611" s="224" t="s">
        <v>1181</v>
      </c>
      <c r="B611" s="224"/>
    </row>
    <row r="612" spans="1:9" ht="21.75" customHeight="1">
      <c r="A612" s="224" t="s">
        <v>1182</v>
      </c>
      <c r="B612" s="224"/>
    </row>
    <row r="613" spans="1:9" ht="8.25" customHeight="1">
      <c r="A613" s="224"/>
      <c r="B613" s="224"/>
    </row>
    <row r="614" spans="1:9" ht="16.5">
      <c r="A614" s="224" t="s">
        <v>1325</v>
      </c>
      <c r="B614" s="224"/>
    </row>
    <row r="615" spans="1:9" ht="32.25" customHeight="1">
      <c r="A615" s="473" t="str">
        <f>"- "&amp;VLOOKUP($J$606,LMBT,4,0)&amp;", "&amp;VITRI</f>
        <v>- Lấy mẫu bê tông giằng móng, Nhà tiểu học 3 phòng</v>
      </c>
      <c r="B615" s="473"/>
      <c r="C615" s="473"/>
      <c r="D615" s="473"/>
      <c r="E615" s="473"/>
      <c r="F615" s="473"/>
      <c r="G615" s="473"/>
      <c r="H615" s="473"/>
      <c r="I615" s="473"/>
    </row>
    <row r="616" spans="1:9" ht="17.25" customHeight="1">
      <c r="A616" s="224" t="s">
        <v>1185</v>
      </c>
      <c r="B616" s="224"/>
    </row>
    <row r="617" spans="1:9" ht="17.25" customHeight="1">
      <c r="A617" s="226" t="s">
        <v>1186</v>
      </c>
      <c r="B617" s="226"/>
    </row>
    <row r="618" spans="1:9" ht="17.25" customHeight="1">
      <c r="A618" s="239" t="s">
        <v>1359</v>
      </c>
      <c r="B618" s="262" t="str">
        <f>TPCDT</f>
        <v>..........................................</v>
      </c>
      <c r="F618" s="335" t="str">
        <f>"Chức vụ: "&amp;CVCDT</f>
        <v>Chức vụ: .................................</v>
      </c>
    </row>
    <row r="619" spans="1:9" ht="17.25" customHeight="1">
      <c r="A619" s="225" t="s">
        <v>1187</v>
      </c>
      <c r="B619" s="225"/>
      <c r="F619" s="351" t="s">
        <v>1188</v>
      </c>
    </row>
    <row r="620" spans="1:9" ht="17.25" customHeight="1">
      <c r="A620" s="226" t="s">
        <v>1189</v>
      </c>
      <c r="B620" s="226"/>
    </row>
    <row r="621" spans="1:9" ht="21.75" customHeight="1">
      <c r="A621" s="370" t="s">
        <v>1360</v>
      </c>
      <c r="B621" s="369" t="s">
        <v>1757</v>
      </c>
      <c r="F621" s="369" t="s">
        <v>1903</v>
      </c>
    </row>
    <row r="622" spans="1:9" ht="21.75" customHeight="1">
      <c r="A622" s="370" t="s">
        <v>1360</v>
      </c>
      <c r="B622" s="369" t="s">
        <v>1902</v>
      </c>
      <c r="F622" s="369" t="s">
        <v>1903</v>
      </c>
    </row>
    <row r="623" spans="1:9" ht="17.25" customHeight="1">
      <c r="A623" s="226" t="s">
        <v>1190</v>
      </c>
      <c r="B623" s="226"/>
    </row>
    <row r="624" spans="1:9" ht="17.25" customHeight="1">
      <c r="A624" s="225" t="s">
        <v>1359</v>
      </c>
      <c r="B624" s="225" t="str">
        <f>TPDVTC</f>
        <v>Lê Văn Thái</v>
      </c>
      <c r="F624" s="225" t="s">
        <v>1191</v>
      </c>
    </row>
    <row r="625" spans="1:9" ht="17.25" customHeight="1">
      <c r="A625" s="225" t="s">
        <v>1187</v>
      </c>
      <c r="B625" s="225"/>
      <c r="F625" s="351" t="s">
        <v>1188</v>
      </c>
    </row>
    <row r="626" spans="1:9" ht="17.25" customHeight="1">
      <c r="A626" s="226" t="s">
        <v>1755</v>
      </c>
      <c r="B626" s="226"/>
    </row>
    <row r="627" spans="1:9" ht="17.25" customHeight="1">
      <c r="A627" s="335" t="s">
        <v>1359</v>
      </c>
      <c r="B627" s="335" t="str">
        <f>TPDVTN</f>
        <v>Giáp Văn Định</v>
      </c>
      <c r="F627" s="335" t="str">
        <f>"Chức vụ: "&amp;CVTNV</f>
        <v>Chức vụ: Thí nghiệm viên</v>
      </c>
    </row>
    <row r="628" spans="1:9" ht="17.25" customHeight="1">
      <c r="A628" s="335" t="s">
        <v>1187</v>
      </c>
      <c r="B628" s="335"/>
      <c r="F628" s="351" t="s">
        <v>1188</v>
      </c>
    </row>
    <row r="629" spans="1:9" ht="20.25" customHeight="1">
      <c r="A629" s="224" t="s">
        <v>1192</v>
      </c>
      <c r="B629" s="224"/>
    </row>
    <row r="630" spans="1:9" ht="19.5" customHeight="1">
      <c r="A630" s="225" t="str">
        <f>"Bắt đầu: "&amp;VLOOKUP($J$606,LMBT,12,0)&amp;", ngày "&amp;VLOOKUP($J$606,LMBT,14,0)&amp;" tháng "&amp;VLOOKUP($J$606,LMBT,15,0)&amp;" năm 2014"</f>
        <v>Bắt đầu: 14 giờ 00, ngày 27 tháng 08 năm 2014</v>
      </c>
      <c r="B630" s="225"/>
    </row>
    <row r="631" spans="1:9" ht="19.5" customHeight="1">
      <c r="A631" s="225" t="str">
        <f>"Kết thúc: "&amp;VLOOKUP($J$606,LMBT,13,0)&amp;", ngày "&amp;VLOOKUP($J$606,LMBT,14,0)&amp;" tháng "&amp;VLOOKUP($J$606,LMBT,15,0)&amp;" năm 2014"</f>
        <v>Kết thúc: 16 giờ 00, ngày 27 tháng 08 năm 2014</v>
      </c>
      <c r="B631" s="225"/>
    </row>
    <row r="632" spans="1:9" ht="19.5" customHeight="1">
      <c r="A632" s="225" t="str">
        <f>A550</f>
        <v>Tại: Nhà tiểu học 3 phòng - Điểm TĐC Pom Chốn</v>
      </c>
      <c r="B632" s="225"/>
    </row>
    <row r="633" spans="1:9" ht="20.25" customHeight="1">
      <c r="A633" s="224" t="s">
        <v>1193</v>
      </c>
      <c r="B633" s="224"/>
    </row>
    <row r="634" spans="1:9" ht="19.5" customHeight="1">
      <c r="A634" s="474" t="str">
        <f>"- Phiếu yêu cầu nghiệm thu của nhà thầu thi công số : "&amp;VLOOKUP($J$606,LMBT,7,0)&amp;"/PYC"</f>
        <v>- Phiếu yêu cầu nghiệm thu của nhà thầu thi công số : 4/LMTH3PC/PYC</v>
      </c>
      <c r="B634" s="474"/>
      <c r="C634" s="474"/>
      <c r="D634" s="474"/>
      <c r="E634" s="474"/>
      <c r="F634" s="474"/>
      <c r="G634" s="474"/>
      <c r="H634" s="474"/>
      <c r="I634" s="474"/>
    </row>
    <row r="635" spans="1:9" ht="33" customHeight="1">
      <c r="A635" s="473" t="s">
        <v>1184</v>
      </c>
      <c r="B635" s="473"/>
      <c r="C635" s="473"/>
      <c r="D635" s="473"/>
      <c r="E635" s="473"/>
      <c r="F635" s="473"/>
      <c r="G635" s="473"/>
      <c r="H635" s="473"/>
      <c r="I635" s="473"/>
    </row>
    <row r="636" spans="1:9" ht="19.5" customHeight="1">
      <c r="A636" s="474" t="s">
        <v>1194</v>
      </c>
      <c r="B636" s="474"/>
      <c r="C636" s="474"/>
      <c r="D636" s="474"/>
      <c r="E636" s="474"/>
      <c r="F636" s="474"/>
      <c r="G636" s="474"/>
      <c r="H636" s="474"/>
      <c r="I636" s="474"/>
    </row>
    <row r="637" spans="1:9" ht="16.5">
      <c r="A637" s="225" t="s">
        <v>1218</v>
      </c>
    </row>
    <row r="638" spans="1:9" ht="16.5">
      <c r="A638" s="225" t="s">
        <v>1294</v>
      </c>
    </row>
    <row r="639" spans="1:9" ht="33" customHeight="1">
      <c r="A639" s="473" t="s">
        <v>1326</v>
      </c>
      <c r="B639" s="473"/>
      <c r="C639" s="473"/>
      <c r="D639" s="473"/>
      <c r="E639" s="473"/>
      <c r="F639" s="473"/>
      <c r="G639" s="473"/>
      <c r="H639" s="473"/>
      <c r="I639" s="473"/>
    </row>
    <row r="640" spans="1:9" ht="33" customHeight="1">
      <c r="A640" s="473" t="s">
        <v>1327</v>
      </c>
      <c r="B640" s="473"/>
      <c r="C640" s="473"/>
      <c r="D640" s="473"/>
      <c r="E640" s="473"/>
      <c r="F640" s="473"/>
      <c r="G640" s="473"/>
      <c r="H640" s="473"/>
      <c r="I640" s="473"/>
    </row>
    <row r="641" spans="1:10" ht="16.5">
      <c r="A641" s="225" t="s">
        <v>1196</v>
      </c>
    </row>
    <row r="642" spans="1:10" ht="16.5">
      <c r="A642" s="224" t="s">
        <v>1328</v>
      </c>
    </row>
    <row r="643" spans="1:10" ht="18.75" customHeight="1">
      <c r="A643" s="225" t="s">
        <v>1329</v>
      </c>
    </row>
    <row r="644" spans="1:10" ht="18.75" customHeight="1">
      <c r="A644" s="225" t="s">
        <v>1330</v>
      </c>
    </row>
    <row r="645" spans="1:10" ht="18.75" customHeight="1">
      <c r="A645" s="239" t="str">
        <f>"- Bộ phận cấu kiện lấy mẫu : "&amp;VLOOKUP($J$606,LMBT,4,0)</f>
        <v>- Bộ phận cấu kiện lấy mẫu : Lấy mẫu bê tông giằng móng</v>
      </c>
      <c r="E645" s="225"/>
    </row>
    <row r="646" spans="1:10" ht="18.75" customHeight="1">
      <c r="A646" s="225" t="str">
        <f>"- Vị trí lấy mẫu : "&amp;VITRI&amp;" - "&amp;DIEMTDC</f>
        <v>- Vị trí lấy mẫu : Nhà tiểu học 3 phòng - Điểm TĐC Pom Chốn</v>
      </c>
      <c r="B646" s="225"/>
      <c r="C646" s="225"/>
    </row>
    <row r="647" spans="1:10" ht="18.75" customHeight="1">
      <c r="A647" s="225" t="str">
        <f>"- Ký hiệu mẫu : "&amp;VLOOKUP($J$606,LMBT,25,0)&amp;"/"&amp;VLOOKUP($J$606,LMBT,28,0)&amp;"/"&amp;VLOOKUP($J$606,LMBT,29,0)&amp;"; "&amp;VLOOKUP($J$606,LMBT,26,0)&amp;"/"&amp;VLOOKUP($J$606,LMBT,28,0)&amp;"/"&amp;VLOOKUP($J$606,LMBT,29,0)&amp;"; "&amp;VLOOKUP($J$606,LMBT,27,0)&amp;"/"&amp;VLOOKUP($J$606,LMBT,28,0)&amp;"/"&amp;VLOOKUP($J$606,LMBT,29,0)</f>
        <v>- Ký hiệu mẫu : 4/TH3PC/M200; 5/TH3PC/M200; 6/TH3PC/M200</v>
      </c>
    </row>
    <row r="648" spans="1:10" ht="18.75" customHeight="1">
      <c r="A648" s="225" t="s">
        <v>1331</v>
      </c>
      <c r="D648" s="225" t="s">
        <v>1332</v>
      </c>
      <c r="J648" s="220"/>
    </row>
    <row r="649" spans="1:10" ht="18.75" customHeight="1">
      <c r="A649" s="225" t="s">
        <v>1333</v>
      </c>
      <c r="D649" s="225" t="s">
        <v>1334</v>
      </c>
    </row>
    <row r="650" spans="1:10" ht="18.75" customHeight="1">
      <c r="A650" s="225" t="s">
        <v>1335</v>
      </c>
      <c r="D650" s="225" t="str">
        <f>VLOOKUP($J$606,LMBT,21,0)</f>
        <v>M200#</v>
      </c>
    </row>
    <row r="651" spans="1:10" ht="18.75" customHeight="1">
      <c r="A651" s="225" t="s">
        <v>1336</v>
      </c>
    </row>
    <row r="652" spans="1:10" ht="18.75" customHeight="1">
      <c r="A652" s="239" t="s">
        <v>1337</v>
      </c>
      <c r="B652" s="225"/>
    </row>
    <row r="653" spans="1:10" ht="18.75" customHeight="1">
      <c r="A653" s="225" t="s">
        <v>1338</v>
      </c>
    </row>
    <row r="655" spans="1:10" s="240" customFormat="1" ht="15.75">
      <c r="A655" s="502" t="s">
        <v>1339</v>
      </c>
      <c r="B655" s="502"/>
      <c r="C655" s="502"/>
      <c r="D655" s="480" t="s">
        <v>872</v>
      </c>
      <c r="E655" s="480"/>
      <c r="F655" s="502" t="s">
        <v>1340</v>
      </c>
      <c r="G655" s="480"/>
      <c r="H655" s="502" t="s">
        <v>1341</v>
      </c>
      <c r="I655" s="480"/>
      <c r="J655" s="285"/>
    </row>
    <row r="656" spans="1:10" s="240" customFormat="1" ht="15.75">
      <c r="A656" s="502"/>
      <c r="B656" s="502"/>
      <c r="C656" s="502"/>
      <c r="D656" s="480"/>
      <c r="E656" s="480"/>
      <c r="F656" s="480"/>
      <c r="G656" s="480"/>
      <c r="H656" s="480"/>
      <c r="I656" s="480"/>
      <c r="J656" s="285"/>
    </row>
    <row r="661" spans="1:10" s="230" customFormat="1" ht="15.75">
      <c r="A661" s="480" t="str">
        <f>TPCDT</f>
        <v>..........................................</v>
      </c>
      <c r="B661" s="480"/>
      <c r="C661" s="480"/>
      <c r="D661" s="480" t="str">
        <f>TPTVGS</f>
        <v>..........................................</v>
      </c>
      <c r="E661" s="480"/>
      <c r="F661" s="480" t="str">
        <f>TPDVTC</f>
        <v>Lê Văn Thái</v>
      </c>
      <c r="G661" s="480"/>
      <c r="H661" s="480" t="str">
        <f>TPDVTN</f>
        <v>Giáp Văn Định</v>
      </c>
      <c r="I661" s="480"/>
      <c r="J661" s="285"/>
    </row>
    <row r="683" spans="1:10">
      <c r="E683" s="248"/>
      <c r="F683" s="248"/>
      <c r="G683" s="248"/>
      <c r="H683" s="248"/>
      <c r="I683" s="248"/>
    </row>
    <row r="684" spans="1:10" ht="14.25">
      <c r="A684" s="248"/>
      <c r="B684" s="248"/>
      <c r="C684" s="248"/>
      <c r="D684" s="248"/>
      <c r="E684" s="248"/>
      <c r="F684" s="248"/>
      <c r="G684" s="248"/>
      <c r="H684" s="248"/>
      <c r="I684" s="248"/>
      <c r="J684" s="220"/>
    </row>
    <row r="685" spans="1:10" customFormat="1" ht="16.5">
      <c r="A685" s="476" t="s">
        <v>1396</v>
      </c>
      <c r="B685" s="476"/>
      <c r="C685" s="476"/>
      <c r="D685" s="248"/>
      <c r="E685" s="476" t="s">
        <v>1174</v>
      </c>
      <c r="F685" s="476"/>
      <c r="G685" s="476"/>
      <c r="H685" s="476"/>
      <c r="I685" s="476"/>
      <c r="J685" s="284"/>
    </row>
    <row r="686" spans="1:10" customFormat="1" ht="18.75">
      <c r="A686" s="476" t="s">
        <v>1397</v>
      </c>
      <c r="B686" s="476"/>
      <c r="C686" s="476"/>
      <c r="D686" s="248"/>
      <c r="E686" s="477" t="s">
        <v>1176</v>
      </c>
      <c r="F686" s="477"/>
      <c r="G686" s="477"/>
      <c r="H686" s="477"/>
      <c r="I686" s="477"/>
      <c r="J686" s="284"/>
    </row>
    <row r="687" spans="1:10" customFormat="1" ht="16.5">
      <c r="A687" s="478" t="s">
        <v>1398</v>
      </c>
      <c r="B687" s="478"/>
      <c r="C687" s="478"/>
      <c r="J687" s="284"/>
    </row>
    <row r="688" spans="1:10" customFormat="1" ht="16.5">
      <c r="A688" s="280"/>
      <c r="B688" s="266"/>
      <c r="E688" s="492" t="str">
        <f>"Quan Hóa , ngày "&amp;VLOOKUP($J$727,TVK,9,0)&amp;" tháng "&amp;VLOOKUP($J$727,TVK,10,0)&amp;" năm 2014"</f>
        <v>Quan Hóa , ngày 29 tháng 08 năm 2014</v>
      </c>
      <c r="F688" s="492"/>
      <c r="G688" s="492"/>
      <c r="H688" s="492"/>
      <c r="I688" s="492"/>
      <c r="J688" s="284"/>
    </row>
    <row r="689" spans="1:10" customFormat="1" ht="6.75" customHeight="1">
      <c r="A689" s="280"/>
      <c r="J689" s="284"/>
    </row>
    <row r="690" spans="1:10" customFormat="1" ht="18.75">
      <c r="A690" s="470" t="str">
        <f>"PHIẾU YÊU CẦU SỐ: "&amp;VLOOKUP($J$727,TVK,7,0)&amp;"/PYC"</f>
        <v>PHIẾU YÊU CẦU SỐ: 4/TVKTH3PC/PYC</v>
      </c>
      <c r="B690" s="470"/>
      <c r="C690" s="470"/>
      <c r="D690" s="470"/>
      <c r="E690" s="470"/>
      <c r="F690" s="470"/>
      <c r="G690" s="470"/>
      <c r="H690" s="470"/>
      <c r="I690" s="470"/>
      <c r="J690" s="284"/>
    </row>
    <row r="691" spans="1:10" customFormat="1" ht="17.25">
      <c r="A691" s="471" t="str">
        <f>"("&amp;VLOOKUP($J$727,TVK,4,0)&amp;")"</f>
        <v>(Nghiệm thu bê tông giằng móng sau khi tháo ván khuôn)</v>
      </c>
      <c r="B691" s="471"/>
      <c r="C691" s="471"/>
      <c r="D691" s="471"/>
      <c r="E691" s="471"/>
      <c r="F691" s="471"/>
      <c r="G691" s="471"/>
      <c r="H691" s="471"/>
      <c r="I691" s="471"/>
      <c r="J691" s="284"/>
    </row>
    <row r="692" spans="1:10" customFormat="1" ht="7.5" customHeight="1">
      <c r="A692" s="226"/>
      <c r="B692" s="220"/>
      <c r="J692" s="284"/>
    </row>
    <row r="693" spans="1:10" customFormat="1" ht="16.5">
      <c r="A693" s="224" t="s">
        <v>1179</v>
      </c>
      <c r="B693" s="266"/>
      <c r="J693" s="284"/>
    </row>
    <row r="694" spans="1:10" customFormat="1" ht="16.5">
      <c r="A694" s="224" t="s">
        <v>1412</v>
      </c>
      <c r="B694" s="266"/>
      <c r="J694" s="284"/>
    </row>
    <row r="695" spans="1:10" customFormat="1" ht="16.5">
      <c r="A695" s="224" t="s">
        <v>1399</v>
      </c>
      <c r="B695" s="220"/>
      <c r="J695" s="284"/>
    </row>
    <row r="696" spans="1:10" customFormat="1" ht="16.5">
      <c r="A696" s="224" t="s">
        <v>1400</v>
      </c>
      <c r="B696" s="220"/>
      <c r="J696" s="284"/>
    </row>
    <row r="697" spans="1:10" customFormat="1" ht="8.25" customHeight="1">
      <c r="A697" s="266"/>
      <c r="B697" s="220"/>
      <c r="J697" s="284"/>
    </row>
    <row r="698" spans="1:10" customFormat="1" ht="16.5">
      <c r="A698" s="224" t="s">
        <v>1401</v>
      </c>
      <c r="B698" s="220"/>
      <c r="C698" s="266" t="s">
        <v>1402</v>
      </c>
      <c r="J698" s="284"/>
    </row>
    <row r="699" spans="1:10" customFormat="1" ht="16.5">
      <c r="A699" s="220"/>
      <c r="B699" s="220"/>
      <c r="C699" s="266" t="s">
        <v>1403</v>
      </c>
      <c r="J699" s="284"/>
    </row>
    <row r="700" spans="1:10" customFormat="1" ht="6.75" customHeight="1">
      <c r="A700" s="277"/>
      <c r="B700" s="220"/>
      <c r="J700" s="284"/>
    </row>
    <row r="701" spans="1:10" customFormat="1" ht="49.5" customHeight="1">
      <c r="A701" s="473" t="s">
        <v>1420</v>
      </c>
      <c r="B701" s="473"/>
      <c r="C701" s="473"/>
      <c r="D701" s="473"/>
      <c r="E701" s="473"/>
      <c r="F701" s="473"/>
      <c r="G701" s="473"/>
      <c r="H701" s="473"/>
      <c r="I701" s="473"/>
      <c r="J701" s="284"/>
    </row>
    <row r="702" spans="1:10" customFormat="1" ht="16.5">
      <c r="A702" s="473" t="s">
        <v>1414</v>
      </c>
      <c r="B702" s="473"/>
      <c r="C702" s="473"/>
      <c r="D702" s="473"/>
      <c r="E702" s="473"/>
      <c r="F702" s="473"/>
      <c r="G702" s="473"/>
      <c r="H702" s="473"/>
      <c r="I702" s="473"/>
      <c r="J702" s="284"/>
    </row>
    <row r="703" spans="1:10" customFormat="1" ht="35.25" customHeight="1">
      <c r="A703" s="485" t="str">
        <f>"    "&amp;VLOOKUP($J$727,TVK,4,0)&amp;", "&amp;VITRI&amp;", "&amp;DIEMTDC</f>
        <v xml:space="preserve">    Nghiệm thu bê tông giằng móng sau khi tháo ván khuôn, Nhà tiểu học 3 phòng, Điểm TĐC Pom Chốn</v>
      </c>
      <c r="B703" s="485"/>
      <c r="C703" s="485"/>
      <c r="D703" s="485"/>
      <c r="E703" s="485"/>
      <c r="F703" s="485"/>
      <c r="G703" s="485"/>
      <c r="H703" s="485"/>
      <c r="I703" s="485"/>
      <c r="J703" s="284"/>
    </row>
    <row r="704" spans="1:10" customFormat="1" ht="18.75" customHeight="1">
      <c r="A704" s="266" t="s">
        <v>1415</v>
      </c>
      <c r="B704" s="220"/>
      <c r="J704" s="284"/>
    </row>
    <row r="705" spans="1:10" customFormat="1" ht="18.75" customHeight="1">
      <c r="A705" s="266" t="str">
        <f>"     Thời gian: "&amp;VLOOKUP($J$727,TVK,12,0)&amp;", ngày "&amp;VLOOKUP($J$727,TVK,14,0)&amp;" tháng "&amp;VLOOKUP($J$727,TVK,15,0)&amp;" năm 2014"</f>
        <v xml:space="preserve">     Thời gian: 08 giờ 00, ngày 30 tháng 08 năm 2014</v>
      </c>
      <c r="B705" s="220"/>
      <c r="J705" s="284"/>
    </row>
    <row r="706" spans="1:10" customFormat="1" ht="18.75" customHeight="1">
      <c r="A706" s="266" t="str">
        <f>"     Tại lô nhà "&amp;VITRI&amp;", "&amp;DIEMTDC</f>
        <v xml:space="preserve">     Tại lô nhà Nhà tiểu học 3 phòng, Điểm TĐC Pom Chốn</v>
      </c>
      <c r="B706" s="220"/>
      <c r="J706" s="284"/>
    </row>
    <row r="707" spans="1:10" customFormat="1" ht="16.5">
      <c r="A707" s="221" t="s">
        <v>1404</v>
      </c>
      <c r="B707" s="220"/>
      <c r="J707" s="284"/>
    </row>
    <row r="708" spans="1:10" customFormat="1" ht="16.5">
      <c r="A708" s="266"/>
      <c r="B708" s="220"/>
      <c r="J708" s="284"/>
    </row>
    <row r="709" spans="1:10" customFormat="1" ht="16.5">
      <c r="A709" s="278" t="s">
        <v>1405</v>
      </c>
      <c r="E709" s="478" t="s">
        <v>1408</v>
      </c>
      <c r="F709" s="478"/>
      <c r="G709" s="478"/>
      <c r="H709" s="478"/>
      <c r="J709" s="284"/>
    </row>
    <row r="710" spans="1:10" customFormat="1" ht="16.5">
      <c r="A710" s="279" t="s">
        <v>1406</v>
      </c>
      <c r="E710" s="478" t="s">
        <v>1409</v>
      </c>
      <c r="F710" s="478"/>
      <c r="G710" s="478"/>
      <c r="H710" s="478"/>
      <c r="J710" s="284"/>
    </row>
    <row r="711" spans="1:10" customFormat="1" ht="16.5">
      <c r="A711" s="279" t="s">
        <v>1407</v>
      </c>
      <c r="B711" s="224"/>
      <c r="J711" s="284"/>
    </row>
    <row r="712" spans="1:10" customFormat="1" ht="16.5">
      <c r="A712" s="232"/>
      <c r="B712" s="224"/>
      <c r="J712" s="284"/>
    </row>
    <row r="713" spans="1:10" customFormat="1" ht="16.5">
      <c r="A713" s="232"/>
      <c r="B713" s="224"/>
      <c r="J713" s="284"/>
    </row>
    <row r="714" spans="1:10" customFormat="1" ht="16.5">
      <c r="A714" s="232"/>
      <c r="B714" s="224"/>
      <c r="J714" s="284"/>
    </row>
    <row r="715" spans="1:10" customFormat="1" ht="14.25" customHeight="1">
      <c r="A715" s="232"/>
      <c r="E715" s="478" t="s">
        <v>1410</v>
      </c>
      <c r="F715" s="478"/>
      <c r="G715" s="478"/>
      <c r="H715" s="478"/>
      <c r="J715" s="284"/>
    </row>
    <row r="716" spans="1:10" customFormat="1" ht="16.5">
      <c r="A716" s="232"/>
      <c r="B716" s="224"/>
      <c r="J716" s="284"/>
    </row>
    <row r="717" spans="1:10" customFormat="1" ht="16.5">
      <c r="A717" s="224" t="s">
        <v>1411</v>
      </c>
      <c r="B717" s="220"/>
      <c r="J717" s="284"/>
    </row>
    <row r="718" spans="1:10" customFormat="1" ht="21" customHeight="1">
      <c r="A718" t="s">
        <v>1413</v>
      </c>
      <c r="J718" s="284"/>
    </row>
    <row r="719" spans="1:10" customFormat="1" ht="21" customHeight="1">
      <c r="A719" t="s">
        <v>1413</v>
      </c>
      <c r="J719" s="284"/>
    </row>
    <row r="720" spans="1:10" customFormat="1" ht="21" customHeight="1">
      <c r="A720" t="s">
        <v>1413</v>
      </c>
      <c r="J720" s="284"/>
    </row>
    <row r="721" spans="1:10" customFormat="1" ht="14.25">
      <c r="J721" s="284"/>
    </row>
    <row r="722" spans="1:10" customFormat="1" ht="14.25">
      <c r="A722" s="127"/>
      <c r="B722" s="127"/>
      <c r="C722" s="127"/>
      <c r="D722" s="127"/>
      <c r="E722" s="127"/>
      <c r="F722" s="127"/>
      <c r="G722" s="127"/>
      <c r="H722" s="127"/>
      <c r="I722" s="127"/>
      <c r="J722" s="284"/>
    </row>
    <row r="723" spans="1:10" ht="16.5">
      <c r="A723" s="475" t="s">
        <v>1173</v>
      </c>
      <c r="B723" s="475"/>
      <c r="C723" s="475"/>
      <c r="D723" s="475"/>
      <c r="E723" s="476" t="s">
        <v>1174</v>
      </c>
      <c r="F723" s="476"/>
      <c r="G723" s="476"/>
      <c r="H723" s="476"/>
      <c r="I723" s="476"/>
    </row>
    <row r="724" spans="1:10" ht="18.75">
      <c r="A724" s="482" t="s">
        <v>1175</v>
      </c>
      <c r="B724" s="482"/>
      <c r="C724" s="482"/>
      <c r="D724" s="482"/>
      <c r="E724" s="470" t="s">
        <v>1176</v>
      </c>
      <c r="F724" s="470"/>
      <c r="G724" s="470"/>
      <c r="H724" s="470"/>
      <c r="I724" s="470"/>
    </row>
    <row r="725" spans="1:10" ht="16.5">
      <c r="A725" s="478" t="s">
        <v>1177</v>
      </c>
      <c r="B725" s="478"/>
      <c r="C725" s="478"/>
      <c r="D725" s="478"/>
      <c r="G725" s="221"/>
    </row>
    <row r="726" spans="1:10" ht="18.75">
      <c r="A726" s="222"/>
      <c r="B726" s="222"/>
      <c r="F726" s="479" t="str">
        <f>"Quan Hóa , ngày "&amp;VLOOKUP($J$727,TVK,14,0)&amp;" tháng "&amp;VLOOKUP($J$727,TVK,15,0)&amp;" năm 2014"</f>
        <v>Quan Hóa , ngày 30 tháng 08 năm 2014</v>
      </c>
      <c r="G726" s="479"/>
      <c r="H726" s="479"/>
      <c r="I726" s="479"/>
    </row>
    <row r="727" spans="1:10" ht="19.5">
      <c r="A727" s="472" t="str">
        <f>"BIÊN BẢN SỐ: "&amp;VLOOKUP($J$727,TVK,8,0)&amp;"/TVK"</f>
        <v>BIÊN BẢN SỐ: 4/TVKTH3PC/TVK</v>
      </c>
      <c r="B727" s="472"/>
      <c r="C727" s="472"/>
      <c r="D727" s="472"/>
      <c r="E727" s="472"/>
      <c r="F727" s="472"/>
      <c r="G727" s="472"/>
      <c r="H727" s="472"/>
      <c r="I727" s="472"/>
      <c r="J727" s="283">
        <f>MHTVK</f>
        <v>2</v>
      </c>
    </row>
    <row r="728" spans="1:10" ht="19.5">
      <c r="A728" s="472" t="s">
        <v>1386</v>
      </c>
      <c r="B728" s="472"/>
      <c r="C728" s="472"/>
      <c r="D728" s="472"/>
      <c r="E728" s="472"/>
      <c r="F728" s="472"/>
      <c r="G728" s="472"/>
      <c r="H728" s="472"/>
      <c r="I728" s="472"/>
    </row>
    <row r="729" spans="1:10" ht="8.25" customHeight="1">
      <c r="A729" s="223"/>
      <c r="B729" s="223"/>
    </row>
    <row r="730" spans="1:10" ht="21.75" customHeight="1">
      <c r="A730" s="224" t="s">
        <v>1179</v>
      </c>
      <c r="B730" s="224"/>
      <c r="D730" s="266"/>
    </row>
    <row r="731" spans="1:10" ht="21.75" customHeight="1">
      <c r="A731" s="224" t="s">
        <v>1180</v>
      </c>
      <c r="B731" s="224"/>
      <c r="D731" s="266"/>
    </row>
    <row r="732" spans="1:10" ht="21.75" customHeight="1">
      <c r="A732" s="224" t="s">
        <v>1181</v>
      </c>
      <c r="B732" s="224"/>
    </row>
    <row r="733" spans="1:10" ht="21.75" customHeight="1">
      <c r="A733" s="224" t="s">
        <v>1182</v>
      </c>
      <c r="B733" s="224"/>
    </row>
    <row r="734" spans="1:10" ht="8.25" customHeight="1">
      <c r="A734" s="224"/>
      <c r="B734" s="224"/>
    </row>
    <row r="735" spans="1:10" ht="16.5">
      <c r="A735" s="224" t="s">
        <v>1183</v>
      </c>
      <c r="B735" s="224"/>
    </row>
    <row r="736" spans="1:10" ht="32.25" customHeight="1">
      <c r="A736" s="473" t="str">
        <f>"- "&amp;VLOOKUP($J$727,TVK,4,0)&amp;", "&amp;VITRI</f>
        <v>- Nghiệm thu bê tông giằng móng sau khi tháo ván khuôn, Nhà tiểu học 3 phòng</v>
      </c>
      <c r="B736" s="473"/>
      <c r="C736" s="473"/>
      <c r="D736" s="473"/>
      <c r="E736" s="473"/>
      <c r="F736" s="473"/>
      <c r="G736" s="473"/>
      <c r="H736" s="473"/>
      <c r="I736" s="473"/>
    </row>
    <row r="737" spans="1:6" ht="20.25" customHeight="1">
      <c r="A737" s="224" t="s">
        <v>1185</v>
      </c>
      <c r="B737" s="224"/>
    </row>
    <row r="738" spans="1:6" ht="22.5" customHeight="1">
      <c r="A738" s="226" t="s">
        <v>1186</v>
      </c>
      <c r="B738" s="226"/>
    </row>
    <row r="739" spans="1:6" ht="22.5" customHeight="1">
      <c r="A739" s="239" t="s">
        <v>1359</v>
      </c>
      <c r="B739" s="266" t="str">
        <f>TPCDT</f>
        <v>..........................................</v>
      </c>
      <c r="F739" s="335" t="str">
        <f>"Chức vụ: "&amp;CVCDT</f>
        <v>Chức vụ: .................................</v>
      </c>
    </row>
    <row r="740" spans="1:6" ht="22.5" customHeight="1">
      <c r="A740" s="266" t="s">
        <v>1187</v>
      </c>
      <c r="B740" s="266"/>
      <c r="F740" s="351" t="s">
        <v>1188</v>
      </c>
    </row>
    <row r="741" spans="1:6" ht="22.5" customHeight="1">
      <c r="A741" s="226" t="s">
        <v>1189</v>
      </c>
      <c r="B741" s="226"/>
    </row>
    <row r="742" spans="1:6" ht="21.75" customHeight="1">
      <c r="A742" s="370" t="s">
        <v>1360</v>
      </c>
      <c r="B742" s="369" t="s">
        <v>1757</v>
      </c>
      <c r="F742" s="369" t="s">
        <v>1903</v>
      </c>
    </row>
    <row r="743" spans="1:6" ht="21.75" customHeight="1">
      <c r="A743" s="370" t="s">
        <v>1360</v>
      </c>
      <c r="B743" s="369" t="s">
        <v>1902</v>
      </c>
      <c r="F743" s="369" t="s">
        <v>1903</v>
      </c>
    </row>
    <row r="744" spans="1:6" ht="22.5" customHeight="1">
      <c r="A744" s="226" t="s">
        <v>1190</v>
      </c>
      <c r="B744" s="226"/>
    </row>
    <row r="745" spans="1:6" ht="22.5" customHeight="1">
      <c r="A745" s="266" t="s">
        <v>1359</v>
      </c>
      <c r="B745" s="266" t="str">
        <f>TPDVTC</f>
        <v>Lê Văn Thái</v>
      </c>
      <c r="F745" s="266" t="s">
        <v>1191</v>
      </c>
    </row>
    <row r="746" spans="1:6" ht="22.5" customHeight="1">
      <c r="A746" s="266" t="s">
        <v>1187</v>
      </c>
      <c r="B746" s="266"/>
      <c r="F746" s="351" t="s">
        <v>1188</v>
      </c>
    </row>
    <row r="747" spans="1:6" ht="9" customHeight="1">
      <c r="A747" s="266"/>
      <c r="B747" s="266"/>
      <c r="F747" s="266"/>
    </row>
    <row r="748" spans="1:6" ht="20.25" customHeight="1">
      <c r="A748" s="224" t="s">
        <v>1192</v>
      </c>
      <c r="B748" s="224"/>
    </row>
    <row r="749" spans="1:6" ht="20.25" customHeight="1">
      <c r="A749" s="266" t="str">
        <f>"Bắt đầu: "&amp;VLOOKUP($J$727,TVK,12,0)&amp;", ngày "&amp;VLOOKUP($J$727,TVK,14,0)&amp;" tháng "&amp;VLOOKUP($J$727,TVK,15,0)&amp;" năm 2014"</f>
        <v>Bắt đầu: 08 giờ 00, ngày 30 tháng 08 năm 2014</v>
      </c>
      <c r="B749" s="266"/>
    </row>
    <row r="750" spans="1:6" ht="20.25" customHeight="1">
      <c r="A750" s="266" t="str">
        <f>"Kết thúc: "&amp;VLOOKUP($J$727,TVK,13,0)&amp;", ngày "&amp;VLOOKUP($J$727,TVK,14,0)&amp;" tháng "&amp;VLOOKUP($J$727,TVK,15,0)&amp;" năm 2014"</f>
        <v>Kết thúc: 09 giờ 00, ngày 30 tháng 08 năm 2014</v>
      </c>
      <c r="B750" s="266"/>
    </row>
    <row r="751" spans="1:6" ht="20.25" customHeight="1">
      <c r="A751" s="266" t="str">
        <f>" Tại lô nhà "&amp;VITRI&amp;", "&amp;DIEMTDC</f>
        <v xml:space="preserve"> Tại lô nhà Nhà tiểu học 3 phòng, Điểm TĐC Pom Chốn</v>
      </c>
      <c r="B751" s="266"/>
    </row>
    <row r="752" spans="1:6" ht="9" customHeight="1">
      <c r="A752" s="266"/>
      <c r="B752" s="266"/>
    </row>
    <row r="753" spans="1:10" ht="20.25" customHeight="1">
      <c r="A753" s="224" t="s">
        <v>1193</v>
      </c>
      <c r="B753" s="224"/>
    </row>
    <row r="754" spans="1:10" ht="20.25" customHeight="1">
      <c r="A754" s="224" t="s">
        <v>1217</v>
      </c>
      <c r="B754" s="224"/>
    </row>
    <row r="755" spans="1:10" ht="21" customHeight="1">
      <c r="A755" s="474" t="str">
        <f>"- Phiếu yêu cầu nghiệm thu của nhà thầu thi công số : "&amp;VLOOKUP($J$727,TVK,7,0)&amp;"/PYC"</f>
        <v>- Phiếu yêu cầu nghiệm thu của nhà thầu thi công số : 4/TVKTH3PC/PYC</v>
      </c>
      <c r="B755" s="474"/>
      <c r="C755" s="474"/>
      <c r="D755" s="474"/>
      <c r="E755" s="474"/>
      <c r="F755" s="474"/>
      <c r="G755" s="474"/>
      <c r="H755" s="474"/>
      <c r="I755" s="474"/>
    </row>
    <row r="756" spans="1:10" ht="33" customHeight="1">
      <c r="A756" s="473" t="s">
        <v>1184</v>
      </c>
      <c r="B756" s="473"/>
      <c r="C756" s="473"/>
      <c r="D756" s="473"/>
      <c r="E756" s="473"/>
      <c r="F756" s="473"/>
      <c r="G756" s="473"/>
      <c r="H756" s="473"/>
      <c r="I756" s="473"/>
    </row>
    <row r="757" spans="1:10" ht="21.75" customHeight="1">
      <c r="A757" s="474" t="s">
        <v>1194</v>
      </c>
      <c r="B757" s="474"/>
      <c r="C757" s="474"/>
      <c r="D757" s="474"/>
      <c r="E757" s="474"/>
      <c r="F757" s="474"/>
      <c r="G757" s="474"/>
      <c r="H757" s="474"/>
      <c r="I757" s="474"/>
    </row>
    <row r="758" spans="1:10" ht="21.75" customHeight="1">
      <c r="A758" s="266" t="s">
        <v>1218</v>
      </c>
    </row>
    <row r="759" spans="1:10" ht="21" customHeight="1">
      <c r="A759" s="266" t="s">
        <v>1223</v>
      </c>
    </row>
    <row r="760" spans="1:10" ht="16.5">
      <c r="A760" s="231" t="s">
        <v>1224</v>
      </c>
    </row>
    <row r="761" spans="1:10" ht="16.5">
      <c r="A761" s="239" t="s">
        <v>1387</v>
      </c>
    </row>
    <row r="762" spans="1:10" ht="16.5">
      <c r="A762" s="486" t="s">
        <v>1226</v>
      </c>
      <c r="B762" s="486"/>
      <c r="C762" s="486"/>
      <c r="D762" s="486"/>
      <c r="E762" s="486" t="s">
        <v>1201</v>
      </c>
      <c r="F762" s="486"/>
      <c r="G762" s="486"/>
      <c r="H762" s="486" t="s">
        <v>1246</v>
      </c>
      <c r="I762" s="486"/>
    </row>
    <row r="763" spans="1:10" ht="33">
      <c r="A763" s="486"/>
      <c r="B763" s="486"/>
      <c r="C763" s="486"/>
      <c r="D763" s="486"/>
      <c r="E763" s="486"/>
      <c r="F763" s="486"/>
      <c r="G763" s="486"/>
      <c r="H763" s="268" t="s">
        <v>1203</v>
      </c>
      <c r="I763" s="268" t="s">
        <v>1204</v>
      </c>
    </row>
    <row r="764" spans="1:10" ht="33.75" customHeight="1">
      <c r="A764" s="488" t="s">
        <v>1390</v>
      </c>
      <c r="B764" s="488"/>
      <c r="C764" s="488"/>
      <c r="D764" s="488"/>
      <c r="E764" s="488" t="s">
        <v>1393</v>
      </c>
      <c r="F764" s="488"/>
      <c r="G764" s="488"/>
      <c r="H764" s="236" t="s">
        <v>1230</v>
      </c>
      <c r="I764" s="236"/>
    </row>
    <row r="765" spans="1:10" ht="20.25" customHeight="1">
      <c r="A765" s="488" t="s">
        <v>1389</v>
      </c>
      <c r="B765" s="488"/>
      <c r="C765" s="488"/>
      <c r="D765" s="488"/>
      <c r="E765" s="488" t="s">
        <v>1391</v>
      </c>
      <c r="F765" s="488"/>
      <c r="G765" s="488"/>
      <c r="H765" s="236" t="s">
        <v>1230</v>
      </c>
      <c r="I765" s="236"/>
    </row>
    <row r="766" spans="1:10" ht="20.25" customHeight="1">
      <c r="A766" s="488" t="s">
        <v>1388</v>
      </c>
      <c r="B766" s="488"/>
      <c r="C766" s="488"/>
      <c r="D766" s="488"/>
      <c r="E766" s="488" t="s">
        <v>1393</v>
      </c>
      <c r="F766" s="488"/>
      <c r="G766" s="488"/>
      <c r="H766" s="236" t="s">
        <v>1230</v>
      </c>
      <c r="I766" s="236"/>
      <c r="J766" s="220"/>
    </row>
    <row r="767" spans="1:10" ht="20.25" customHeight="1">
      <c r="A767" s="488" t="s">
        <v>1347</v>
      </c>
      <c r="B767" s="488"/>
      <c r="C767" s="488"/>
      <c r="D767" s="488"/>
      <c r="E767" s="488" t="s">
        <v>1232</v>
      </c>
      <c r="F767" s="488"/>
      <c r="G767" s="488"/>
      <c r="H767" s="236" t="s">
        <v>1230</v>
      </c>
      <c r="I767" s="236"/>
    </row>
    <row r="768" spans="1:10" ht="6.75" customHeight="1">
      <c r="A768" s="266"/>
    </row>
    <row r="769" spans="1:10" ht="20.25" customHeight="1">
      <c r="A769" s="224" t="s">
        <v>1240</v>
      </c>
    </row>
    <row r="770" spans="1:10" ht="8.25" customHeight="1">
      <c r="A770" s="224"/>
    </row>
    <row r="771" spans="1:10" ht="19.5" customHeight="1">
      <c r="A771" s="224" t="s">
        <v>1241</v>
      </c>
    </row>
    <row r="772" spans="1:10" ht="21" customHeight="1">
      <c r="A772" s="266" t="s">
        <v>1242</v>
      </c>
    </row>
    <row r="773" spans="1:10" ht="21" customHeight="1">
      <c r="A773" s="266" t="s">
        <v>1243</v>
      </c>
    </row>
    <row r="774" spans="1:10" ht="9" customHeight="1"/>
    <row r="775" spans="1:10" s="230" customFormat="1" ht="16.5" customHeight="1">
      <c r="A775" s="480" t="s">
        <v>1214</v>
      </c>
      <c r="B775" s="480"/>
      <c r="C775" s="480"/>
      <c r="D775" s="480"/>
      <c r="E775" s="480"/>
      <c r="F775" s="480"/>
      <c r="G775" s="480"/>
      <c r="H775" s="480"/>
      <c r="I775" s="480"/>
      <c r="J775" s="285"/>
    </row>
    <row r="776" spans="1:10" s="230" customFormat="1" ht="15.75">
      <c r="A776" s="480" t="s">
        <v>1170</v>
      </c>
      <c r="B776" s="480"/>
      <c r="C776" s="480"/>
      <c r="D776" s="480"/>
      <c r="E776" s="481" t="s">
        <v>872</v>
      </c>
      <c r="F776" s="481"/>
      <c r="G776" s="480" t="s">
        <v>1215</v>
      </c>
      <c r="H776" s="480"/>
      <c r="I776" s="480"/>
      <c r="J776" s="285"/>
    </row>
    <row r="781" spans="1:10" s="230" customFormat="1" ht="15.75">
      <c r="A781" s="480" t="str">
        <f>TPCDT</f>
        <v>..........................................</v>
      </c>
      <c r="B781" s="480"/>
      <c r="C781" s="480"/>
      <c r="D781" s="480"/>
      <c r="E781" s="481" t="str">
        <f>TPTVGS</f>
        <v>..........................................</v>
      </c>
      <c r="F781" s="481"/>
      <c r="G781" s="480" t="str">
        <f>TPDVTC</f>
        <v>Lê Văn Thái</v>
      </c>
      <c r="H781" s="480"/>
      <c r="I781" s="480"/>
      <c r="J781" s="285"/>
    </row>
    <row r="782" spans="1:10" s="230" customFormat="1" ht="15.75">
      <c r="A782" s="264"/>
      <c r="B782" s="264"/>
      <c r="C782" s="264"/>
      <c r="D782" s="264"/>
      <c r="E782" s="265"/>
      <c r="F782" s="265"/>
      <c r="G782" s="264"/>
      <c r="H782" s="264"/>
      <c r="I782" s="264"/>
      <c r="J782" s="285"/>
    </row>
    <row r="783" spans="1:10" s="230" customFormat="1" ht="15.75">
      <c r="A783" s="291"/>
      <c r="B783" s="291"/>
      <c r="C783" s="291"/>
      <c r="D783" s="291"/>
      <c r="E783" s="292"/>
      <c r="F783" s="292"/>
      <c r="G783" s="291"/>
      <c r="H783" s="291"/>
      <c r="I783" s="291"/>
      <c r="J783" s="285"/>
    </row>
    <row r="784" spans="1:10" customFormat="1" ht="16.5">
      <c r="A784" s="476" t="s">
        <v>1396</v>
      </c>
      <c r="B784" s="476"/>
      <c r="C784" s="476"/>
      <c r="D784" s="248"/>
      <c r="E784" s="476" t="s">
        <v>1174</v>
      </c>
      <c r="F784" s="476"/>
      <c r="G784" s="476"/>
      <c r="H784" s="476"/>
      <c r="I784" s="476"/>
      <c r="J784" s="284"/>
    </row>
    <row r="785" spans="1:10" customFormat="1" ht="18.75">
      <c r="A785" s="476" t="s">
        <v>1397</v>
      </c>
      <c r="B785" s="476"/>
      <c r="C785" s="476"/>
      <c r="D785" s="248"/>
      <c r="E785" s="477" t="s">
        <v>1176</v>
      </c>
      <c r="F785" s="477"/>
      <c r="G785" s="477"/>
      <c r="H785" s="477"/>
      <c r="I785" s="477"/>
      <c r="J785" s="284"/>
    </row>
    <row r="786" spans="1:10" customFormat="1" ht="16.5">
      <c r="A786" s="478" t="s">
        <v>1398</v>
      </c>
      <c r="B786" s="478"/>
      <c r="C786" s="478"/>
      <c r="J786" s="284"/>
    </row>
    <row r="787" spans="1:10" customFormat="1" ht="16.5">
      <c r="A787" s="280"/>
      <c r="B787" s="266"/>
      <c r="E787" s="492" t="str">
        <f>"Quan Hóa , ngày "&amp;VLOOKUP($J$826,NTBT,9,0)&amp;" tháng "&amp;VLOOKUP($J$826,NTBT,10,0)&amp;" năm 2014"</f>
        <v>Quan Hóa , ngày 23 tháng 09 năm 2014</v>
      </c>
      <c r="F787" s="492"/>
      <c r="G787" s="492"/>
      <c r="H787" s="492"/>
      <c r="I787" s="492"/>
      <c r="J787" s="284"/>
    </row>
    <row r="788" spans="1:10" customFormat="1" ht="6.75" customHeight="1">
      <c r="A788" s="280"/>
      <c r="J788" s="284"/>
    </row>
    <row r="789" spans="1:10" customFormat="1" ht="18.75">
      <c r="A789" s="470" t="str">
        <f>"PHIẾU YÊU CẦU SỐ: "&amp;VLOOKUP($J$826,NTBT,7,0)&amp;"/PYC"</f>
        <v>PHIẾU YÊU CẦU SỐ: 4/BTTH3PC/PYC</v>
      </c>
      <c r="B789" s="470"/>
      <c r="C789" s="470"/>
      <c r="D789" s="470"/>
      <c r="E789" s="470"/>
      <c r="F789" s="470"/>
      <c r="G789" s="470"/>
      <c r="H789" s="470"/>
      <c r="I789" s="470"/>
      <c r="J789" s="284"/>
    </row>
    <row r="790" spans="1:10" customFormat="1" ht="17.25">
      <c r="A790" s="471" t="str">
        <f>"(Nghiệm thu "&amp;VLOOKUP($J$826,NTBT,4,0)&amp;")"</f>
        <v>(Nghiệm thu Nghiệm thu bê tông giằng móng)</v>
      </c>
      <c r="B790" s="471"/>
      <c r="C790" s="471"/>
      <c r="D790" s="471"/>
      <c r="E790" s="471"/>
      <c r="F790" s="471"/>
      <c r="G790" s="471"/>
      <c r="H790" s="471"/>
      <c r="I790" s="471"/>
      <c r="J790" s="284"/>
    </row>
    <row r="791" spans="1:10" customFormat="1" ht="7.5" customHeight="1">
      <c r="A791" s="226"/>
      <c r="B791" s="220"/>
      <c r="J791" s="284"/>
    </row>
    <row r="792" spans="1:10" customFormat="1" ht="16.5">
      <c r="A792" s="224" t="s">
        <v>1179</v>
      </c>
      <c r="B792" s="266"/>
      <c r="J792" s="284"/>
    </row>
    <row r="793" spans="1:10" customFormat="1" ht="16.5">
      <c r="A793" s="224" t="s">
        <v>1412</v>
      </c>
      <c r="B793" s="266"/>
      <c r="J793" s="284"/>
    </row>
    <row r="794" spans="1:10" customFormat="1" ht="16.5">
      <c r="A794" s="224" t="s">
        <v>1399</v>
      </c>
      <c r="B794" s="220"/>
      <c r="J794" s="284"/>
    </row>
    <row r="795" spans="1:10" customFormat="1" ht="16.5">
      <c r="A795" s="224" t="s">
        <v>1400</v>
      </c>
      <c r="B795" s="220"/>
      <c r="J795" s="284"/>
    </row>
    <row r="796" spans="1:10" customFormat="1" ht="8.25" customHeight="1">
      <c r="A796" s="266"/>
      <c r="B796" s="220"/>
      <c r="J796" s="284"/>
    </row>
    <row r="797" spans="1:10" customFormat="1" ht="16.5">
      <c r="A797" s="224" t="s">
        <v>1401</v>
      </c>
      <c r="B797" s="220"/>
      <c r="C797" s="266" t="s">
        <v>1402</v>
      </c>
      <c r="J797" s="284"/>
    </row>
    <row r="798" spans="1:10" customFormat="1" ht="16.5">
      <c r="A798" s="220"/>
      <c r="B798" s="220"/>
      <c r="C798" s="266" t="s">
        <v>1403</v>
      </c>
      <c r="J798" s="284"/>
    </row>
    <row r="799" spans="1:10" customFormat="1" ht="6.75" customHeight="1">
      <c r="A799" s="277"/>
      <c r="B799" s="220"/>
      <c r="J799" s="284"/>
    </row>
    <row r="800" spans="1:10" customFormat="1" ht="49.5" customHeight="1">
      <c r="A800" s="473" t="s">
        <v>1420</v>
      </c>
      <c r="B800" s="473"/>
      <c r="C800" s="473"/>
      <c r="D800" s="473"/>
      <c r="E800" s="473"/>
      <c r="F800" s="473"/>
      <c r="G800" s="473"/>
      <c r="H800" s="473"/>
      <c r="I800" s="473"/>
      <c r="J800" s="284"/>
    </row>
    <row r="801" spans="1:10" customFormat="1" ht="16.5">
      <c r="A801" s="473" t="s">
        <v>1414</v>
      </c>
      <c r="B801" s="473"/>
      <c r="C801" s="473"/>
      <c r="D801" s="473"/>
      <c r="E801" s="473"/>
      <c r="F801" s="473"/>
      <c r="G801" s="473"/>
      <c r="H801" s="473"/>
      <c r="I801" s="473"/>
      <c r="J801" s="284"/>
    </row>
    <row r="802" spans="1:10" customFormat="1" ht="35.25" customHeight="1">
      <c r="A802" s="485" t="str">
        <f>"    "&amp;VLOOKUP($J$826,NTBT,4,0)&amp;", "&amp;VITRI&amp;", "&amp;DIEMTDC</f>
        <v xml:space="preserve">    Nghiệm thu bê tông giằng móng, Nhà tiểu học 3 phòng, Điểm TĐC Pom Chốn</v>
      </c>
      <c r="B802" s="485"/>
      <c r="C802" s="485"/>
      <c r="D802" s="485"/>
      <c r="E802" s="485"/>
      <c r="F802" s="485"/>
      <c r="G802" s="485"/>
      <c r="H802" s="485"/>
      <c r="I802" s="485"/>
      <c r="J802" s="284"/>
    </row>
    <row r="803" spans="1:10" customFormat="1" ht="18.75" customHeight="1">
      <c r="A803" s="266" t="s">
        <v>1415</v>
      </c>
      <c r="B803" s="220"/>
      <c r="J803" s="284"/>
    </row>
    <row r="804" spans="1:10" customFormat="1" ht="18.75" customHeight="1">
      <c r="A804" s="266" t="str">
        <f>"     Thời gian: "&amp;VLOOKUP($J$826,NTBT,12,0)&amp;", ngày "&amp;VLOOKUP($J$826,NTBT,14,0)&amp;" tháng "&amp;VLOOKUP($J$826,NTBT,15,0)&amp;" năm 2014"</f>
        <v xml:space="preserve">     Thời gian: 08 giờ 00, ngày 24 tháng 09 năm 2014</v>
      </c>
      <c r="B804" s="220"/>
      <c r="J804" s="284"/>
    </row>
    <row r="805" spans="1:10" customFormat="1" ht="18.75" customHeight="1">
      <c r="A805" s="266" t="str">
        <f>"     Tại lô nhà "&amp;VITRI&amp;", "&amp;DIEMTDC</f>
        <v xml:space="preserve">     Tại lô nhà Nhà tiểu học 3 phòng, Điểm TĐC Pom Chốn</v>
      </c>
      <c r="B805" s="220"/>
      <c r="J805" s="284"/>
    </row>
    <row r="806" spans="1:10" customFormat="1" ht="16.5">
      <c r="A806" s="221" t="s">
        <v>1404</v>
      </c>
      <c r="B806" s="220"/>
      <c r="J806" s="284"/>
    </row>
    <row r="807" spans="1:10" customFormat="1" ht="16.5">
      <c r="A807" s="266"/>
      <c r="B807" s="220"/>
      <c r="J807" s="284"/>
    </row>
    <row r="808" spans="1:10" customFormat="1" ht="16.5">
      <c r="A808" s="278" t="s">
        <v>1405</v>
      </c>
      <c r="E808" s="478" t="s">
        <v>1408</v>
      </c>
      <c r="F808" s="478"/>
      <c r="G808" s="478"/>
      <c r="H808" s="478"/>
      <c r="J808" s="284"/>
    </row>
    <row r="809" spans="1:10" customFormat="1" ht="16.5">
      <c r="A809" s="279" t="s">
        <v>1406</v>
      </c>
      <c r="E809" s="478" t="s">
        <v>1409</v>
      </c>
      <c r="F809" s="478"/>
      <c r="G809" s="478"/>
      <c r="H809" s="478"/>
      <c r="J809" s="284"/>
    </row>
    <row r="810" spans="1:10" customFormat="1" ht="16.5">
      <c r="A810" s="279" t="s">
        <v>1407</v>
      </c>
      <c r="B810" s="224"/>
      <c r="J810" s="284"/>
    </row>
    <row r="811" spans="1:10" customFormat="1" ht="16.5">
      <c r="A811" s="232"/>
      <c r="B811" s="224"/>
      <c r="J811" s="284"/>
    </row>
    <row r="812" spans="1:10" customFormat="1" ht="16.5">
      <c r="A812" s="232"/>
      <c r="B812" s="224"/>
      <c r="J812" s="284"/>
    </row>
    <row r="813" spans="1:10" customFormat="1" ht="16.5">
      <c r="A813" s="232"/>
      <c r="B813" s="224"/>
      <c r="J813" s="284"/>
    </row>
    <row r="814" spans="1:10" customFormat="1" ht="14.25" customHeight="1">
      <c r="A814" s="232"/>
      <c r="E814" s="478" t="s">
        <v>1410</v>
      </c>
      <c r="F814" s="478"/>
      <c r="G814" s="478"/>
      <c r="H814" s="478"/>
      <c r="J814" s="284"/>
    </row>
    <row r="815" spans="1:10" customFormat="1" ht="16.5">
      <c r="A815" s="232"/>
      <c r="B815" s="224"/>
      <c r="J815" s="284"/>
    </row>
    <row r="816" spans="1:10" customFormat="1" ht="16.5">
      <c r="A816" s="224" t="s">
        <v>1411</v>
      </c>
      <c r="B816" s="220"/>
      <c r="J816" s="284"/>
    </row>
    <row r="817" spans="1:10" customFormat="1" ht="21" customHeight="1">
      <c r="A817" t="s">
        <v>1413</v>
      </c>
      <c r="J817" s="284"/>
    </row>
    <row r="818" spans="1:10" customFormat="1" ht="21" customHeight="1">
      <c r="A818" t="s">
        <v>1413</v>
      </c>
      <c r="J818" s="284"/>
    </row>
    <row r="819" spans="1:10" customFormat="1" ht="21" customHeight="1">
      <c r="A819" t="s">
        <v>1413</v>
      </c>
      <c r="J819" s="284"/>
    </row>
    <row r="820" spans="1:10" customFormat="1" ht="14.25">
      <c r="J820" s="284"/>
    </row>
    <row r="821" spans="1:10" customFormat="1" ht="14.25">
      <c r="A821" s="127"/>
      <c r="B821" s="127"/>
      <c r="C821" s="127"/>
      <c r="D821" s="127"/>
      <c r="E821" s="127"/>
      <c r="F821" s="127"/>
      <c r="G821" s="127"/>
      <c r="H821" s="127"/>
      <c r="I821" s="127"/>
      <c r="J821" s="284"/>
    </row>
    <row r="822" spans="1:10" ht="16.5">
      <c r="A822" s="475" t="s">
        <v>1173</v>
      </c>
      <c r="B822" s="475"/>
      <c r="C822" s="475"/>
      <c r="D822" s="475"/>
      <c r="E822" s="476" t="s">
        <v>1174</v>
      </c>
      <c r="F822" s="476"/>
      <c r="G822" s="476"/>
      <c r="H822" s="476"/>
      <c r="I822" s="476"/>
    </row>
    <row r="823" spans="1:10" ht="18.75">
      <c r="A823" s="482" t="s">
        <v>1175</v>
      </c>
      <c r="B823" s="482"/>
      <c r="C823" s="482"/>
      <c r="D823" s="482"/>
      <c r="E823" s="470" t="s">
        <v>1176</v>
      </c>
      <c r="F823" s="470"/>
      <c r="G823" s="470"/>
      <c r="H823" s="470"/>
      <c r="I823" s="470"/>
    </row>
    <row r="824" spans="1:10" ht="16.5">
      <c r="A824" s="478" t="s">
        <v>1177</v>
      </c>
      <c r="B824" s="478"/>
      <c r="C824" s="478"/>
      <c r="D824" s="478"/>
      <c r="G824" s="221"/>
    </row>
    <row r="825" spans="1:10" ht="18.75">
      <c r="A825" s="222"/>
      <c r="B825" s="222"/>
      <c r="F825" s="479" t="str">
        <f>"Quan Hóa , ngày "&amp;VLOOKUP($J$826,NTBT,14,0)&amp;" tháng "&amp;VLOOKUP($J$826,NTBT,15,0)&amp;" năm 2014"</f>
        <v>Quan Hóa , ngày 24 tháng 09 năm 2014</v>
      </c>
      <c r="G825" s="479"/>
      <c r="H825" s="479"/>
      <c r="I825" s="479"/>
    </row>
    <row r="826" spans="1:10" ht="19.5">
      <c r="A826" s="472" t="str">
        <f>"BIÊN BẢN SỐ: "&amp;VLOOKUP($J$826,NTBT,8,0)&amp;"/NTCV"</f>
        <v>BIÊN BẢN SỐ: 4/BTTH3PC/NTCV</v>
      </c>
      <c r="B826" s="472"/>
      <c r="C826" s="472"/>
      <c r="D826" s="472"/>
      <c r="E826" s="472"/>
      <c r="F826" s="472"/>
      <c r="G826" s="472"/>
      <c r="H826" s="472"/>
      <c r="I826" s="472"/>
      <c r="J826" s="283">
        <f>MHNTBT</f>
        <v>2</v>
      </c>
    </row>
    <row r="827" spans="1:10" ht="19.5">
      <c r="A827" s="472" t="s">
        <v>1342</v>
      </c>
      <c r="B827" s="472"/>
      <c r="C827" s="472"/>
      <c r="D827" s="472"/>
      <c r="E827" s="472"/>
      <c r="F827" s="472"/>
      <c r="G827" s="472"/>
      <c r="H827" s="472"/>
      <c r="I827" s="472"/>
    </row>
    <row r="828" spans="1:10" ht="8.25" customHeight="1">
      <c r="A828" s="223"/>
      <c r="B828" s="223"/>
    </row>
    <row r="829" spans="1:10" ht="21" customHeight="1">
      <c r="A829" s="224" t="s">
        <v>1179</v>
      </c>
      <c r="B829" s="224"/>
      <c r="D829" s="225"/>
    </row>
    <row r="830" spans="1:10" ht="21" customHeight="1">
      <c r="A830" s="224" t="s">
        <v>1180</v>
      </c>
      <c r="B830" s="224"/>
      <c r="D830" s="225"/>
    </row>
    <row r="831" spans="1:10" ht="21" customHeight="1">
      <c r="A831" s="224" t="s">
        <v>1181</v>
      </c>
      <c r="B831" s="224"/>
    </row>
    <row r="832" spans="1:10" ht="21" customHeight="1">
      <c r="A832" s="224" t="s">
        <v>1182</v>
      </c>
      <c r="B832" s="224"/>
    </row>
    <row r="833" spans="1:9" ht="8.25" customHeight="1">
      <c r="A833" s="224"/>
      <c r="B833" s="224"/>
    </row>
    <row r="834" spans="1:9" ht="16.5">
      <c r="A834" s="224" t="s">
        <v>1183</v>
      </c>
      <c r="B834" s="224"/>
    </row>
    <row r="835" spans="1:9" ht="32.25" customHeight="1">
      <c r="A835" s="473" t="str">
        <f>"- "&amp;VLOOKUP($J$826,NTBT,4,0)&amp;", "&amp;VITRI</f>
        <v>- Nghiệm thu bê tông giằng móng, Nhà tiểu học 3 phòng</v>
      </c>
      <c r="B835" s="473"/>
      <c r="C835" s="473"/>
      <c r="D835" s="473"/>
      <c r="E835" s="473"/>
      <c r="F835" s="473"/>
      <c r="G835" s="473"/>
      <c r="H835" s="473"/>
      <c r="I835" s="473"/>
    </row>
    <row r="836" spans="1:9" ht="17.25" customHeight="1">
      <c r="A836" s="224" t="s">
        <v>1185</v>
      </c>
      <c r="B836" s="224"/>
    </row>
    <row r="837" spans="1:9" ht="17.25" customHeight="1">
      <c r="A837" s="226" t="s">
        <v>1186</v>
      </c>
      <c r="B837" s="226"/>
    </row>
    <row r="838" spans="1:9" ht="17.25" customHeight="1">
      <c r="A838" s="239" t="s">
        <v>1359</v>
      </c>
      <c r="B838" s="262" t="str">
        <f>TPCDT</f>
        <v>..........................................</v>
      </c>
      <c r="F838" s="335" t="str">
        <f>"Chức vụ: "&amp;CVCDT</f>
        <v>Chức vụ: .................................</v>
      </c>
    </row>
    <row r="839" spans="1:9" ht="17.25" customHeight="1">
      <c r="A839" s="225" t="s">
        <v>1187</v>
      </c>
      <c r="B839" s="225"/>
      <c r="F839" s="351" t="s">
        <v>1188</v>
      </c>
    </row>
    <row r="840" spans="1:9" ht="17.25" customHeight="1">
      <c r="A840" s="226" t="s">
        <v>1189</v>
      </c>
      <c r="B840" s="226"/>
    </row>
    <row r="841" spans="1:9" ht="21.75" customHeight="1">
      <c r="A841" s="370" t="s">
        <v>1360</v>
      </c>
      <c r="B841" s="369" t="s">
        <v>1757</v>
      </c>
      <c r="F841" s="369" t="s">
        <v>1903</v>
      </c>
    </row>
    <row r="842" spans="1:9" ht="21.75" customHeight="1">
      <c r="A842" s="370" t="s">
        <v>1360</v>
      </c>
      <c r="B842" s="369" t="s">
        <v>1902</v>
      </c>
      <c r="F842" s="369" t="s">
        <v>1903</v>
      </c>
    </row>
    <row r="843" spans="1:9" ht="17.25" customHeight="1">
      <c r="A843" s="226" t="s">
        <v>1190</v>
      </c>
      <c r="B843" s="226"/>
    </row>
    <row r="844" spans="1:9" ht="17.25" customHeight="1">
      <c r="A844" s="225" t="s">
        <v>1359</v>
      </c>
      <c r="B844" s="225" t="str">
        <f>TPDVTC</f>
        <v>Lê Văn Thái</v>
      </c>
      <c r="F844" s="225" t="s">
        <v>1191</v>
      </c>
    </row>
    <row r="845" spans="1:9" ht="17.25" customHeight="1">
      <c r="A845" s="225" t="s">
        <v>1187</v>
      </c>
      <c r="B845" s="225"/>
      <c r="F845" s="351" t="s">
        <v>1188</v>
      </c>
    </row>
    <row r="846" spans="1:9" ht="9" customHeight="1">
      <c r="A846" s="225"/>
      <c r="B846" s="225"/>
      <c r="F846" s="225"/>
    </row>
    <row r="847" spans="1:9" ht="20.25" customHeight="1">
      <c r="A847" s="224" t="s">
        <v>1192</v>
      </c>
      <c r="B847" s="224"/>
    </row>
    <row r="848" spans="1:9" ht="19.5" customHeight="1">
      <c r="A848" s="225" t="str">
        <f>"Bắt đầu: "&amp;VLOOKUP($J$826,NTBT,12,0)&amp;", ngày "&amp;VLOOKUP($J$826,NTBT,14,0)&amp;" tháng "&amp;VLOOKUP($J$826,NTBT,15,0)&amp;" năm 2014"</f>
        <v>Bắt đầu: 08 giờ 00, ngày 24 tháng 09 năm 2014</v>
      </c>
      <c r="B848" s="225"/>
    </row>
    <row r="849" spans="1:10" ht="19.5" customHeight="1">
      <c r="A849" s="225" t="str">
        <f>"Kết thúc: "&amp;VLOOKUP($J$826,NTBT,13,0)&amp;", ngày "&amp;VLOOKUP($J$826,NTBT,14,0)&amp;" tháng "&amp;VLOOKUP($J$826,NTBT,15,0)&amp;" năm 2014"</f>
        <v>Kết thúc: 09 giờ 00, ngày 24 tháng 09 năm 2014</v>
      </c>
      <c r="B849" s="225"/>
    </row>
    <row r="850" spans="1:10" ht="19.5" customHeight="1">
      <c r="A850" s="225" t="str">
        <f>A632</f>
        <v>Tại: Nhà tiểu học 3 phòng - Điểm TĐC Pom Chốn</v>
      </c>
      <c r="B850" s="225"/>
    </row>
    <row r="851" spans="1:10" ht="9" customHeight="1">
      <c r="A851" s="225"/>
      <c r="B851" s="225"/>
    </row>
    <row r="852" spans="1:10" ht="20.25" customHeight="1">
      <c r="A852" s="224" t="s">
        <v>1193</v>
      </c>
      <c r="B852" s="224"/>
    </row>
    <row r="853" spans="1:10" ht="16.5">
      <c r="A853" s="224" t="s">
        <v>1343</v>
      </c>
      <c r="B853" s="224"/>
    </row>
    <row r="854" spans="1:10" ht="16.5">
      <c r="A854" s="474" t="str">
        <f>"- Phiếu yêu cầu nghiệm thu của nhà thầu thi công số : "&amp;VLOOKUP($J$826,NTBT,7,0)&amp;"/PYC"</f>
        <v>- Phiếu yêu cầu nghiệm thu của nhà thầu thi công số : 4/BTTH3PC/PYC</v>
      </c>
      <c r="B854" s="474"/>
      <c r="C854" s="474"/>
      <c r="D854" s="474"/>
      <c r="E854" s="474"/>
      <c r="F854" s="474"/>
      <c r="G854" s="474"/>
      <c r="H854" s="474"/>
      <c r="I854" s="474"/>
      <c r="J854" s="220"/>
    </row>
    <row r="855" spans="1:10" ht="33" customHeight="1">
      <c r="A855" s="473" t="s">
        <v>1184</v>
      </c>
      <c r="B855" s="473"/>
      <c r="C855" s="473"/>
      <c r="D855" s="473"/>
      <c r="E855" s="473"/>
      <c r="F855" s="473"/>
      <c r="G855" s="473"/>
      <c r="H855" s="473"/>
      <c r="I855" s="473"/>
    </row>
    <row r="856" spans="1:10" ht="19.5" customHeight="1">
      <c r="A856" s="474" t="s">
        <v>1194</v>
      </c>
      <c r="B856" s="474"/>
      <c r="C856" s="474"/>
      <c r="D856" s="474"/>
      <c r="E856" s="474"/>
      <c r="F856" s="474"/>
      <c r="G856" s="474"/>
      <c r="H856" s="474"/>
      <c r="I856" s="474"/>
    </row>
    <row r="857" spans="1:10" ht="33" customHeight="1">
      <c r="A857" s="473" t="s">
        <v>1344</v>
      </c>
      <c r="B857" s="473"/>
      <c r="C857" s="473"/>
      <c r="D857" s="473"/>
      <c r="E857" s="473"/>
      <c r="F857" s="473"/>
      <c r="G857" s="473"/>
      <c r="H857" s="473"/>
      <c r="I857" s="473"/>
    </row>
    <row r="858" spans="1:10" ht="16.5">
      <c r="A858" s="225" t="s">
        <v>1294</v>
      </c>
    </row>
    <row r="859" spans="1:10" ht="34.5" customHeight="1">
      <c r="A859" s="473" t="s">
        <v>1326</v>
      </c>
      <c r="B859" s="473"/>
      <c r="C859" s="473"/>
      <c r="D859" s="473"/>
      <c r="E859" s="473"/>
      <c r="F859" s="473"/>
      <c r="G859" s="473"/>
      <c r="H859" s="473"/>
      <c r="I859" s="473"/>
    </row>
    <row r="860" spans="1:10" ht="18">
      <c r="A860" s="241" t="s">
        <v>1345</v>
      </c>
    </row>
    <row r="861" spans="1:10" ht="33" customHeight="1">
      <c r="A861" s="473" t="s">
        <v>1327</v>
      </c>
      <c r="B861" s="473"/>
      <c r="C861" s="473"/>
      <c r="D861" s="473"/>
      <c r="E861" s="473"/>
      <c r="F861" s="473"/>
      <c r="G861" s="473"/>
      <c r="H861" s="473"/>
      <c r="I861" s="473"/>
    </row>
    <row r="862" spans="1:10" ht="16.5">
      <c r="A862" s="225" t="s">
        <v>1346</v>
      </c>
    </row>
    <row r="863" spans="1:10" ht="16.5">
      <c r="A863" s="225" t="s">
        <v>1196</v>
      </c>
    </row>
    <row r="864" spans="1:10" ht="8.25" customHeight="1">
      <c r="A864" s="242"/>
    </row>
    <row r="865" spans="1:10" ht="16.5">
      <c r="A865" s="224" t="s">
        <v>1224</v>
      </c>
    </row>
    <row r="866" spans="1:10" ht="7.5" customHeight="1">
      <c r="A866" s="243"/>
    </row>
    <row r="867" spans="1:10" s="55" customFormat="1" ht="15.75">
      <c r="A867" s="503" t="s">
        <v>1226</v>
      </c>
      <c r="B867" s="503"/>
      <c r="C867" s="503"/>
      <c r="D867" s="503"/>
      <c r="E867" s="503" t="s">
        <v>1201</v>
      </c>
      <c r="F867" s="503"/>
      <c r="G867" s="503"/>
      <c r="H867" s="503" t="s">
        <v>1246</v>
      </c>
      <c r="I867" s="503"/>
      <c r="J867" s="285"/>
    </row>
    <row r="868" spans="1:10" s="55" customFormat="1" ht="15.75">
      <c r="A868" s="503"/>
      <c r="B868" s="503"/>
      <c r="C868" s="503"/>
      <c r="D868" s="503"/>
      <c r="E868" s="503"/>
      <c r="F868" s="503"/>
      <c r="G868" s="503"/>
      <c r="H868" s="244" t="s">
        <v>1203</v>
      </c>
      <c r="I868" s="244" t="s">
        <v>1204</v>
      </c>
      <c r="J868" s="285"/>
    </row>
    <row r="869" spans="1:10" ht="16.5">
      <c r="A869" s="494" t="s">
        <v>1347</v>
      </c>
      <c r="B869" s="494"/>
      <c r="C869" s="494"/>
      <c r="D869" s="494"/>
      <c r="E869" s="488" t="s">
        <v>1348</v>
      </c>
      <c r="F869" s="488"/>
      <c r="G869" s="488"/>
      <c r="H869" s="245"/>
      <c r="I869" s="246"/>
    </row>
    <row r="870" spans="1:10" ht="16.5">
      <c r="A870" s="494" t="s">
        <v>1349</v>
      </c>
      <c r="B870" s="494"/>
      <c r="C870" s="494"/>
      <c r="D870" s="494"/>
      <c r="E870" s="488" t="s">
        <v>1232</v>
      </c>
      <c r="F870" s="488"/>
      <c r="G870" s="488"/>
      <c r="H870" s="247"/>
      <c r="I870" s="246"/>
    </row>
    <row r="871" spans="1:10" ht="32.25" customHeight="1">
      <c r="A871" s="494" t="s">
        <v>1350</v>
      </c>
      <c r="B871" s="494"/>
      <c r="C871" s="494"/>
      <c r="D871" s="494"/>
      <c r="E871" s="488" t="s">
        <v>1351</v>
      </c>
      <c r="F871" s="488"/>
      <c r="G871" s="488"/>
      <c r="H871" s="247"/>
      <c r="I871" s="246"/>
    </row>
    <row r="872" spans="1:10" ht="32.25" customHeight="1">
      <c r="A872" s="494" t="s">
        <v>1350</v>
      </c>
      <c r="B872" s="494"/>
      <c r="C872" s="494"/>
      <c r="D872" s="494"/>
      <c r="E872" s="488" t="s">
        <v>1352</v>
      </c>
      <c r="F872" s="488"/>
      <c r="G872" s="488"/>
      <c r="H872" s="247"/>
      <c r="I872" s="246"/>
    </row>
    <row r="873" spans="1:10" ht="16.5">
      <c r="A873" s="494" t="s">
        <v>1353</v>
      </c>
      <c r="B873" s="494"/>
      <c r="C873" s="494"/>
      <c r="D873" s="494"/>
      <c r="E873" s="488" t="s">
        <v>1354</v>
      </c>
      <c r="F873" s="488"/>
      <c r="G873" s="488"/>
      <c r="H873" s="247"/>
      <c r="I873" s="246"/>
    </row>
    <row r="874" spans="1:10" ht="16.5">
      <c r="A874" s="494" t="s">
        <v>1355</v>
      </c>
      <c r="B874" s="494"/>
      <c r="C874" s="494"/>
      <c r="D874" s="494"/>
      <c r="E874" s="488" t="s">
        <v>1356</v>
      </c>
      <c r="F874" s="488"/>
      <c r="G874" s="488"/>
      <c r="H874" s="247"/>
      <c r="I874" s="246"/>
    </row>
    <row r="875" spans="1:10" ht="9" customHeight="1">
      <c r="A875" s="248"/>
      <c r="B875" s="248"/>
      <c r="C875" s="248"/>
      <c r="D875" s="248"/>
      <c r="E875" s="248"/>
      <c r="F875" s="248"/>
      <c r="G875" s="248"/>
      <c r="H875" s="248"/>
      <c r="I875" s="248"/>
    </row>
    <row r="876" spans="1:10" ht="16.5">
      <c r="A876" s="224" t="s">
        <v>1240</v>
      </c>
    </row>
    <row r="877" spans="1:10" ht="5.25" customHeight="1">
      <c r="A877" s="224"/>
    </row>
    <row r="878" spans="1:10" ht="16.5">
      <c r="A878" s="224" t="s">
        <v>1241</v>
      </c>
    </row>
    <row r="879" spans="1:10" ht="18.75" customHeight="1">
      <c r="A879" s="225" t="s">
        <v>1357</v>
      </c>
    </row>
    <row r="880" spans="1:10" ht="18.75" customHeight="1">
      <c r="A880" s="225" t="s">
        <v>1358</v>
      </c>
    </row>
    <row r="881" spans="1:10" ht="9" customHeight="1"/>
    <row r="882" spans="1:10" s="230" customFormat="1" ht="16.5" customHeight="1">
      <c r="A882" s="480" t="s">
        <v>1214</v>
      </c>
      <c r="B882" s="480"/>
      <c r="C882" s="480"/>
      <c r="D882" s="480"/>
      <c r="E882" s="480"/>
      <c r="F882" s="480"/>
      <c r="G882" s="480"/>
      <c r="H882" s="480"/>
      <c r="I882" s="480"/>
      <c r="J882" s="285"/>
    </row>
    <row r="883" spans="1:10" s="230" customFormat="1" ht="15.75">
      <c r="A883" s="480" t="s">
        <v>1170</v>
      </c>
      <c r="B883" s="480"/>
      <c r="C883" s="480"/>
      <c r="D883" s="480"/>
      <c r="E883" s="481" t="s">
        <v>872</v>
      </c>
      <c r="F883" s="481"/>
      <c r="G883" s="480" t="s">
        <v>1215</v>
      </c>
      <c r="H883" s="480"/>
      <c r="I883" s="480"/>
      <c r="J883" s="285"/>
    </row>
    <row r="888" spans="1:10" s="230" customFormat="1" ht="15.75">
      <c r="A888" s="480" t="str">
        <f>TPCDT</f>
        <v>..........................................</v>
      </c>
      <c r="B888" s="480"/>
      <c r="C888" s="480"/>
      <c r="D888" s="480"/>
      <c r="E888" s="481" t="str">
        <f>TPTVGS</f>
        <v>..........................................</v>
      </c>
      <c r="F888" s="481"/>
      <c r="G888" s="480" t="str">
        <f>TPDVTC</f>
        <v>Lê Văn Thái</v>
      </c>
      <c r="H888" s="480"/>
      <c r="I888" s="480"/>
      <c r="J888" s="285"/>
    </row>
  </sheetData>
  <mergeCells count="380">
    <mergeCell ref="A801:I801"/>
    <mergeCell ref="A802:I802"/>
    <mergeCell ref="E808:H808"/>
    <mergeCell ref="E809:H809"/>
    <mergeCell ref="E814:H814"/>
    <mergeCell ref="A784:C784"/>
    <mergeCell ref="E784:I784"/>
    <mergeCell ref="A785:C785"/>
    <mergeCell ref="E785:I785"/>
    <mergeCell ref="A786:C786"/>
    <mergeCell ref="E787:I787"/>
    <mergeCell ref="A800:I800"/>
    <mergeCell ref="A502:I502"/>
    <mergeCell ref="E508:H508"/>
    <mergeCell ref="E509:H509"/>
    <mergeCell ref="E514:H514"/>
    <mergeCell ref="A685:C685"/>
    <mergeCell ref="E685:I685"/>
    <mergeCell ref="A686:C686"/>
    <mergeCell ref="E686:I686"/>
    <mergeCell ref="A615:I615"/>
    <mergeCell ref="A634:I634"/>
    <mergeCell ref="A635:I635"/>
    <mergeCell ref="A636:I636"/>
    <mergeCell ref="A639:I639"/>
    <mergeCell ref="A640:I640"/>
    <mergeCell ref="A603:D603"/>
    <mergeCell ref="E603:I603"/>
    <mergeCell ref="A604:D604"/>
    <mergeCell ref="F605:I605"/>
    <mergeCell ref="A606:I606"/>
    <mergeCell ref="A607:I607"/>
    <mergeCell ref="B577:E577"/>
    <mergeCell ref="A595:I595"/>
    <mergeCell ref="A596:D596"/>
    <mergeCell ref="E596:F596"/>
    <mergeCell ref="A484:C484"/>
    <mergeCell ref="E484:I484"/>
    <mergeCell ref="A485:C485"/>
    <mergeCell ref="E485:I485"/>
    <mergeCell ref="A486:C486"/>
    <mergeCell ref="E487:I487"/>
    <mergeCell ref="A500:I500"/>
    <mergeCell ref="A490:I490"/>
    <mergeCell ref="A501:I501"/>
    <mergeCell ref="E267:H267"/>
    <mergeCell ref="E268:H268"/>
    <mergeCell ref="E273:H273"/>
    <mergeCell ref="A362:C362"/>
    <mergeCell ref="E362:I362"/>
    <mergeCell ref="A363:C363"/>
    <mergeCell ref="E363:I363"/>
    <mergeCell ref="A330:D330"/>
    <mergeCell ref="E330:G330"/>
    <mergeCell ref="A331:I331"/>
    <mergeCell ref="A332:D332"/>
    <mergeCell ref="E332:G332"/>
    <mergeCell ref="A333:D333"/>
    <mergeCell ref="E333:G333"/>
    <mergeCell ref="A327:D327"/>
    <mergeCell ref="E327:G327"/>
    <mergeCell ref="A328:D328"/>
    <mergeCell ref="E328:G328"/>
    <mergeCell ref="A329:D329"/>
    <mergeCell ref="E329:G329"/>
    <mergeCell ref="E282:I282"/>
    <mergeCell ref="A283:D283"/>
    <mergeCell ref="F284:I284"/>
    <mergeCell ref="A324:D324"/>
    <mergeCell ref="A243:C243"/>
    <mergeCell ref="E243:I243"/>
    <mergeCell ref="A244:C244"/>
    <mergeCell ref="E244:I244"/>
    <mergeCell ref="A245:C245"/>
    <mergeCell ref="E246:I246"/>
    <mergeCell ref="A259:I259"/>
    <mergeCell ref="A260:I260"/>
    <mergeCell ref="A261:I261"/>
    <mergeCell ref="A75:I75"/>
    <mergeCell ref="A76:I76"/>
    <mergeCell ref="A79:A80"/>
    <mergeCell ref="B79:C80"/>
    <mergeCell ref="D79:D80"/>
    <mergeCell ref="E79:E80"/>
    <mergeCell ref="F79:G80"/>
    <mergeCell ref="H79:I79"/>
    <mergeCell ref="A45:I45"/>
    <mergeCell ref="E119:I119"/>
    <mergeCell ref="A120:C120"/>
    <mergeCell ref="E121:I121"/>
    <mergeCell ref="B81:C81"/>
    <mergeCell ref="F81:G81"/>
    <mergeCell ref="B82:C82"/>
    <mergeCell ref="F82:G82"/>
    <mergeCell ref="B83:C83"/>
    <mergeCell ref="F83:G83"/>
    <mergeCell ref="A691:I691"/>
    <mergeCell ref="A781:D781"/>
    <mergeCell ref="E781:F781"/>
    <mergeCell ref="G781:I781"/>
    <mergeCell ref="A766:D766"/>
    <mergeCell ref="E766:G766"/>
    <mergeCell ref="A3:C3"/>
    <mergeCell ref="A4:C4"/>
    <mergeCell ref="A5:C5"/>
    <mergeCell ref="E27:H27"/>
    <mergeCell ref="E28:H28"/>
    <mergeCell ref="E33:H33"/>
    <mergeCell ref="A19:I19"/>
    <mergeCell ref="A20:I20"/>
    <mergeCell ref="A21:I21"/>
    <mergeCell ref="E6:I6"/>
    <mergeCell ref="A775:I775"/>
    <mergeCell ref="A776:D776"/>
    <mergeCell ref="E776:F776"/>
    <mergeCell ref="G776:I776"/>
    <mergeCell ref="A687:C687"/>
    <mergeCell ref="E688:I688"/>
    <mergeCell ref="E3:I3"/>
    <mergeCell ref="E4:I4"/>
    <mergeCell ref="A701:I701"/>
    <mergeCell ref="A702:I702"/>
    <mergeCell ref="A703:I703"/>
    <mergeCell ref="E709:H709"/>
    <mergeCell ref="E710:H710"/>
    <mergeCell ref="E715:H715"/>
    <mergeCell ref="A767:D767"/>
    <mergeCell ref="E767:G767"/>
    <mergeCell ref="A757:I757"/>
    <mergeCell ref="A762:D763"/>
    <mergeCell ref="E762:G763"/>
    <mergeCell ref="H762:I762"/>
    <mergeCell ref="A764:D764"/>
    <mergeCell ref="E764:G764"/>
    <mergeCell ref="A765:D765"/>
    <mergeCell ref="E765:G765"/>
    <mergeCell ref="A873:D873"/>
    <mergeCell ref="E873:G873"/>
    <mergeCell ref="A874:D874"/>
    <mergeCell ref="E874:G874"/>
    <mergeCell ref="A882:I882"/>
    <mergeCell ref="A883:D883"/>
    <mergeCell ref="E883:F883"/>
    <mergeCell ref="G883:I883"/>
    <mergeCell ref="A870:D870"/>
    <mergeCell ref="E870:G870"/>
    <mergeCell ref="A871:D871"/>
    <mergeCell ref="E871:G871"/>
    <mergeCell ref="A872:D872"/>
    <mergeCell ref="E872:G872"/>
    <mergeCell ref="A861:I861"/>
    <mergeCell ref="A867:D868"/>
    <mergeCell ref="E867:G868"/>
    <mergeCell ref="H867:I867"/>
    <mergeCell ref="A869:D869"/>
    <mergeCell ref="E869:G869"/>
    <mergeCell ref="A835:I835"/>
    <mergeCell ref="A854:I854"/>
    <mergeCell ref="A855:I855"/>
    <mergeCell ref="A856:I856"/>
    <mergeCell ref="A857:I857"/>
    <mergeCell ref="A859:I859"/>
    <mergeCell ref="A823:D823"/>
    <mergeCell ref="E823:I823"/>
    <mergeCell ref="A824:D824"/>
    <mergeCell ref="F825:I825"/>
    <mergeCell ref="A826:I826"/>
    <mergeCell ref="A827:I827"/>
    <mergeCell ref="A655:C656"/>
    <mergeCell ref="D655:E656"/>
    <mergeCell ref="F655:G656"/>
    <mergeCell ref="H655:I656"/>
    <mergeCell ref="A822:D822"/>
    <mergeCell ref="E822:I822"/>
    <mergeCell ref="D661:E661"/>
    <mergeCell ref="A723:D723"/>
    <mergeCell ref="E723:I723"/>
    <mergeCell ref="A724:D724"/>
    <mergeCell ref="E724:I724"/>
    <mergeCell ref="A725:D725"/>
    <mergeCell ref="F726:I726"/>
    <mergeCell ref="A727:I727"/>
    <mergeCell ref="A728:I728"/>
    <mergeCell ref="A736:I736"/>
    <mergeCell ref="A755:I755"/>
    <mergeCell ref="A756:I756"/>
    <mergeCell ref="G596:I596"/>
    <mergeCell ref="A602:D602"/>
    <mergeCell ref="E602:I602"/>
    <mergeCell ref="B571:I571"/>
    <mergeCell ref="B572:I572"/>
    <mergeCell ref="B573:E573"/>
    <mergeCell ref="B574:E574"/>
    <mergeCell ref="B575:E575"/>
    <mergeCell ref="B576:E576"/>
    <mergeCell ref="A601:D601"/>
    <mergeCell ref="E601:F601"/>
    <mergeCell ref="G601:I601"/>
    <mergeCell ref="B565:E565"/>
    <mergeCell ref="B566:E566"/>
    <mergeCell ref="B567:E567"/>
    <mergeCell ref="B568:E568"/>
    <mergeCell ref="B569:E569"/>
    <mergeCell ref="B570:E570"/>
    <mergeCell ref="A558:I558"/>
    <mergeCell ref="A562:A563"/>
    <mergeCell ref="B562:E563"/>
    <mergeCell ref="F562:G562"/>
    <mergeCell ref="H562:I562"/>
    <mergeCell ref="B564:I564"/>
    <mergeCell ref="A526:I526"/>
    <mergeCell ref="A527:I527"/>
    <mergeCell ref="A535:I535"/>
    <mergeCell ref="A553:I553"/>
    <mergeCell ref="A554:I554"/>
    <mergeCell ref="A555:I555"/>
    <mergeCell ref="A522:D522"/>
    <mergeCell ref="E522:I522"/>
    <mergeCell ref="A523:D523"/>
    <mergeCell ref="E523:I523"/>
    <mergeCell ref="A524:D524"/>
    <mergeCell ref="F525:I525"/>
    <mergeCell ref="B453:E453"/>
    <mergeCell ref="B454:E454"/>
    <mergeCell ref="A461:I461"/>
    <mergeCell ref="A462:D462"/>
    <mergeCell ref="E462:F462"/>
    <mergeCell ref="G462:I462"/>
    <mergeCell ref="A447:I447"/>
    <mergeCell ref="B448:E448"/>
    <mergeCell ref="B449:E449"/>
    <mergeCell ref="B450:E450"/>
    <mergeCell ref="B451:E451"/>
    <mergeCell ref="B452:E452"/>
    <mergeCell ref="A441:I441"/>
    <mergeCell ref="B442:E442"/>
    <mergeCell ref="B443:E443"/>
    <mergeCell ref="B444:E444"/>
    <mergeCell ref="B445:E445"/>
    <mergeCell ref="B446:E446"/>
    <mergeCell ref="A413:I413"/>
    <mergeCell ref="A431:I431"/>
    <mergeCell ref="A432:I432"/>
    <mergeCell ref="A433:I433"/>
    <mergeCell ref="A434:I434"/>
    <mergeCell ref="A439:A440"/>
    <mergeCell ref="B439:E440"/>
    <mergeCell ref="F439:F440"/>
    <mergeCell ref="G439:G440"/>
    <mergeCell ref="H439:I439"/>
    <mergeCell ref="A401:D401"/>
    <mergeCell ref="E401:I401"/>
    <mergeCell ref="A402:D402"/>
    <mergeCell ref="F403:I403"/>
    <mergeCell ref="A404:I404"/>
    <mergeCell ref="A405:I405"/>
    <mergeCell ref="A341:I341"/>
    <mergeCell ref="A342:D342"/>
    <mergeCell ref="E342:F342"/>
    <mergeCell ref="G342:I342"/>
    <mergeCell ref="A400:D400"/>
    <mergeCell ref="E400:I400"/>
    <mergeCell ref="A364:C364"/>
    <mergeCell ref="E365:I365"/>
    <mergeCell ref="A378:I378"/>
    <mergeCell ref="A379:I379"/>
    <mergeCell ref="A380:I380"/>
    <mergeCell ref="E386:H386"/>
    <mergeCell ref="E387:H387"/>
    <mergeCell ref="E392:H392"/>
    <mergeCell ref="E324:G324"/>
    <mergeCell ref="A325:D325"/>
    <mergeCell ref="E325:G325"/>
    <mergeCell ref="A326:D326"/>
    <mergeCell ref="E326:G326"/>
    <mergeCell ref="A320:D321"/>
    <mergeCell ref="E320:G321"/>
    <mergeCell ref="H320:I320"/>
    <mergeCell ref="A322:I322"/>
    <mergeCell ref="A323:D323"/>
    <mergeCell ref="E323:G323"/>
    <mergeCell ref="A206:D206"/>
    <mergeCell ref="E206:G206"/>
    <mergeCell ref="A207:D207"/>
    <mergeCell ref="E207:G207"/>
    <mergeCell ref="A215:I215"/>
    <mergeCell ref="A216:D216"/>
    <mergeCell ref="E216:F216"/>
    <mergeCell ref="G216:I216"/>
    <mergeCell ref="A203:D203"/>
    <mergeCell ref="E203:G203"/>
    <mergeCell ref="A204:D204"/>
    <mergeCell ref="E204:G204"/>
    <mergeCell ref="A205:D205"/>
    <mergeCell ref="E205:G205"/>
    <mergeCell ref="A199:D200"/>
    <mergeCell ref="E199:G200"/>
    <mergeCell ref="H199:I199"/>
    <mergeCell ref="A201:D201"/>
    <mergeCell ref="E201:G201"/>
    <mergeCell ref="A202:D202"/>
    <mergeCell ref="E202:G202"/>
    <mergeCell ref="A160:I160"/>
    <mergeCell ref="A161:I161"/>
    <mergeCell ref="A169:I169"/>
    <mergeCell ref="A188:I188"/>
    <mergeCell ref="A189:I189"/>
    <mergeCell ref="A190:I190"/>
    <mergeCell ref="E156:I156"/>
    <mergeCell ref="A157:D157"/>
    <mergeCell ref="E157:I157"/>
    <mergeCell ref="A158:D158"/>
    <mergeCell ref="F159:I159"/>
    <mergeCell ref="B84:C84"/>
    <mergeCell ref="F84:G84"/>
    <mergeCell ref="A85:I85"/>
    <mergeCell ref="A91:I91"/>
    <mergeCell ref="A92:D92"/>
    <mergeCell ref="E92:F92"/>
    <mergeCell ref="G92:I92"/>
    <mergeCell ref="A98:D98"/>
    <mergeCell ref="E98:F98"/>
    <mergeCell ref="G98:I98"/>
    <mergeCell ref="A134:I134"/>
    <mergeCell ref="A135:I135"/>
    <mergeCell ref="A136:I136"/>
    <mergeCell ref="E142:H142"/>
    <mergeCell ref="E143:H143"/>
    <mergeCell ref="E148:H148"/>
    <mergeCell ref="A118:C118"/>
    <mergeCell ref="E118:I118"/>
    <mergeCell ref="A119:C119"/>
    <mergeCell ref="A888:D888"/>
    <mergeCell ref="E888:F888"/>
    <mergeCell ref="G888:I888"/>
    <mergeCell ref="A661:C661"/>
    <mergeCell ref="F661:G661"/>
    <mergeCell ref="H661:I661"/>
    <mergeCell ref="A222:D222"/>
    <mergeCell ref="E222:F222"/>
    <mergeCell ref="G222:I222"/>
    <mergeCell ref="A347:D347"/>
    <mergeCell ref="E347:F347"/>
    <mergeCell ref="G347:I347"/>
    <mergeCell ref="A468:D468"/>
    <mergeCell ref="E468:F468"/>
    <mergeCell ref="G468:I468"/>
    <mergeCell ref="A285:I285"/>
    <mergeCell ref="A286:I286"/>
    <mergeCell ref="A294:I294"/>
    <mergeCell ref="A313:I313"/>
    <mergeCell ref="A314:I314"/>
    <mergeCell ref="A315:I315"/>
    <mergeCell ref="A281:D281"/>
    <mergeCell ref="E281:I281"/>
    <mergeCell ref="A282:D282"/>
    <mergeCell ref="A690:I690"/>
    <mergeCell ref="A789:I789"/>
    <mergeCell ref="A790:I790"/>
    <mergeCell ref="A8:I8"/>
    <mergeCell ref="A9:I9"/>
    <mergeCell ref="A123:I123"/>
    <mergeCell ref="A124:I124"/>
    <mergeCell ref="A248:I248"/>
    <mergeCell ref="A249:I249"/>
    <mergeCell ref="A367:I367"/>
    <mergeCell ref="A368:I368"/>
    <mergeCell ref="A489:I489"/>
    <mergeCell ref="A46:I46"/>
    <mergeCell ref="A54:I54"/>
    <mergeCell ref="A72:I72"/>
    <mergeCell ref="A73:I73"/>
    <mergeCell ref="A74:I74"/>
    <mergeCell ref="A41:D41"/>
    <mergeCell ref="E41:I41"/>
    <mergeCell ref="A42:D42"/>
    <mergeCell ref="E42:I42"/>
    <mergeCell ref="A43:D43"/>
    <mergeCell ref="F44:I44"/>
    <mergeCell ref="A156:D156"/>
  </mergeCells>
  <hyperlinks>
    <hyperlink ref="B1" location="BBNT!A46" display="VL"/>
    <hyperlink ref="C1" location="BBNT!A161" display="CT"/>
    <hyperlink ref="D1" location="BBNT!A286" display="VK"/>
    <hyperlink ref="E1" location="BBNT!A407" display="CBBT"/>
    <hyperlink ref="F1" location="BBNT!A530" display="GSBT"/>
    <hyperlink ref="G1" location="BBNT!A610" display="LMBT"/>
    <hyperlink ref="H1" location="BBNT!A730" display="TVK"/>
    <hyperlink ref="I1" location="BBNT!A829" display="NTBT"/>
  </hyperlinks>
  <pageMargins left="0.79" right="0.59" top="0.75" bottom="0.75" header="0.3" footer="0.3"/>
  <pageSetup paperSize="9" scale="97" orientation="portrait" r:id="rId1"/>
  <rowBreaks count="28" manualBreakCount="28">
    <brk id="38" max="8" man="1"/>
    <brk id="40" max="8" man="1"/>
    <brk id="76" max="8" man="1"/>
    <brk id="117" max="8" man="1"/>
    <brk id="153" max="8" man="1"/>
    <brk id="155" max="8" man="1"/>
    <brk id="196" max="8" man="1"/>
    <brk id="242" max="8" man="1"/>
    <brk id="278" max="8" man="1"/>
    <brk id="280" max="8" man="1"/>
    <brk id="317" max="8" man="1"/>
    <brk id="361" max="8" man="1"/>
    <brk id="397" max="8" man="1"/>
    <brk id="399" max="8" man="1"/>
    <brk id="436" max="8" man="1"/>
    <brk id="483" max="8" man="1"/>
    <brk id="519" max="8" man="1"/>
    <brk id="521" max="8" man="1"/>
    <brk id="559" max="8" man="1"/>
    <brk id="601" max="8" man="1"/>
    <brk id="641" max="8" man="1"/>
    <brk id="684" max="8" man="1"/>
    <brk id="720" max="8" man="1"/>
    <brk id="722" max="8" man="1"/>
    <brk id="759" max="8" man="1"/>
    <brk id="783" max="8" man="1"/>
    <brk id="819" max="8" man="1"/>
    <brk id="82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Spinner 1">
              <controlPr defaultSize="0" autoPict="0">
                <anchor moveWithCells="1" sizeWithCells="1">
                  <from>
                    <xdr:col>0</xdr:col>
                    <xdr:colOff>57150</xdr:colOff>
                    <xdr:row>0</xdr:row>
                    <xdr:rowOff>19050</xdr:rowOff>
                  </from>
                  <to>
                    <xdr:col>0</xdr:col>
                    <xdr:colOff>400050</xdr:colOff>
                    <xdr:row>1</xdr:row>
                    <xdr:rowOff>152400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331"/>
  <sheetViews>
    <sheetView view="pageBreakPreview" zoomScaleNormal="100" zoomScaleSheetLayoutView="100" workbookViewId="0">
      <pane ySplit="3" topLeftCell="A146" activePane="bottomLeft" state="frozen"/>
      <selection activeCell="B2" sqref="B2"/>
      <selection pane="bottomLeft" activeCell="O154" sqref="O154"/>
    </sheetView>
  </sheetViews>
  <sheetFormatPr defaultRowHeight="15"/>
  <cols>
    <col min="1" max="1" width="6.25" customWidth="1"/>
    <col min="2" max="2" width="11.125" customWidth="1"/>
    <col min="3" max="3" width="5.625" customWidth="1"/>
    <col min="4" max="4" width="7.875" customWidth="1"/>
    <col min="5" max="5" width="14.375" customWidth="1"/>
    <col min="7" max="7" width="10.625" customWidth="1"/>
    <col min="10" max="10" width="0" style="252" hidden="1" customWidth="1"/>
    <col min="11" max="11" width="9" style="255"/>
    <col min="12" max="12" width="17.125" customWidth="1"/>
    <col min="13" max="13" width="0" hidden="1" customWidth="1"/>
    <col min="14" max="14" width="15.625" hidden="1" customWidth="1"/>
  </cols>
  <sheetData>
    <row r="1" spans="1:16" ht="9" hidden="1" customHeight="1">
      <c r="C1" s="127"/>
      <c r="D1" s="127"/>
      <c r="E1" s="127"/>
      <c r="F1" s="127"/>
      <c r="I1" s="297"/>
      <c r="J1" s="293"/>
      <c r="K1" s="297"/>
      <c r="L1" s="297"/>
      <c r="M1" s="297"/>
    </row>
    <row r="2" spans="1:16">
      <c r="C2" s="127"/>
      <c r="D2" s="287" t="s">
        <v>1134</v>
      </c>
      <c r="E2" s="287" t="s">
        <v>1376</v>
      </c>
      <c r="F2" s="287" t="s">
        <v>1377</v>
      </c>
      <c r="G2" s="294"/>
      <c r="I2" s="297"/>
      <c r="J2" s="298"/>
      <c r="K2" s="298"/>
      <c r="L2" s="298"/>
      <c r="M2" s="297"/>
      <c r="O2" s="302"/>
      <c r="P2" s="302"/>
    </row>
    <row r="3" spans="1:16">
      <c r="A3" s="127"/>
      <c r="B3" s="127"/>
      <c r="C3" s="127"/>
      <c r="D3" s="288">
        <v>1</v>
      </c>
      <c r="E3" s="288">
        <f>D3</f>
        <v>1</v>
      </c>
      <c r="F3" s="288">
        <f>D3</f>
        <v>1</v>
      </c>
      <c r="G3" s="295"/>
      <c r="H3" s="127"/>
      <c r="I3" s="127"/>
    </row>
    <row r="4" spans="1:16" ht="16.5">
      <c r="A4" s="476" t="s">
        <v>1396</v>
      </c>
      <c r="B4" s="476"/>
      <c r="C4" s="476"/>
      <c r="D4" s="248"/>
      <c r="E4" s="476" t="s">
        <v>1174</v>
      </c>
      <c r="F4" s="476"/>
      <c r="G4" s="476"/>
      <c r="H4" s="476"/>
      <c r="I4" s="476"/>
      <c r="J4" s="284"/>
      <c r="K4"/>
    </row>
    <row r="5" spans="1:16" ht="18.75">
      <c r="A5" s="476" t="s">
        <v>1397</v>
      </c>
      <c r="B5" s="476"/>
      <c r="C5" s="476"/>
      <c r="D5" s="248"/>
      <c r="E5" s="477" t="s">
        <v>1176</v>
      </c>
      <c r="F5" s="477"/>
      <c r="G5" s="477"/>
      <c r="H5" s="477"/>
      <c r="I5" s="477"/>
      <c r="J5" s="284"/>
      <c r="K5"/>
    </row>
    <row r="6" spans="1:16" ht="16.5">
      <c r="A6" s="478" t="s">
        <v>1398</v>
      </c>
      <c r="B6" s="478"/>
      <c r="C6" s="478"/>
      <c r="J6" s="284"/>
      <c r="K6"/>
    </row>
    <row r="7" spans="1:16" ht="16.5">
      <c r="A7" s="280"/>
      <c r="B7" s="266"/>
      <c r="E7" s="492" t="str">
        <f>"Quan Hóa , ngày "&amp;VLOOKUP($J$46,VLXAY,9,0)&amp;" tháng "&amp;VLOOKUP($J$46,VLXAY,10,0)&amp;" năm 2014"</f>
        <v>Quan Hóa , ngày 22 tháng 08 năm 2014</v>
      </c>
      <c r="F7" s="492"/>
      <c r="G7" s="492"/>
      <c r="H7" s="492"/>
      <c r="I7" s="492"/>
      <c r="J7" s="284"/>
      <c r="K7"/>
    </row>
    <row r="8" spans="1:16" ht="6.75" customHeight="1">
      <c r="A8" s="280"/>
      <c r="J8" s="284"/>
      <c r="K8"/>
    </row>
    <row r="9" spans="1:16" ht="18.75">
      <c r="A9" s="470" t="str">
        <f>"PHIẾU YÊU CẦU SỐ: "&amp;VLOOKUP($J$46,VLXAY,7,0)&amp;"/PYC"</f>
        <v>PHIẾU YÊU CẦU SỐ: 3/VLTH3PC/PYC</v>
      </c>
      <c r="B9" s="470"/>
      <c r="C9" s="470"/>
      <c r="D9" s="470"/>
      <c r="E9" s="470"/>
      <c r="F9" s="470"/>
      <c r="G9" s="470"/>
      <c r="H9" s="470"/>
      <c r="I9" s="470"/>
      <c r="J9" s="284"/>
      <c r="K9"/>
    </row>
    <row r="10" spans="1:16" ht="34.5" customHeight="1">
      <c r="A10" s="506" t="str">
        <f>"("&amp;VLOOKUP($J$46,VLXAY,4,0)&amp;")"</f>
        <v>(Vật liệu trước khi xây móng đá hộc)</v>
      </c>
      <c r="B10" s="506"/>
      <c r="C10" s="506"/>
      <c r="D10" s="506"/>
      <c r="E10" s="506"/>
      <c r="F10" s="506"/>
      <c r="G10" s="506"/>
      <c r="H10" s="506"/>
      <c r="I10" s="506"/>
      <c r="J10" s="284"/>
      <c r="K10"/>
    </row>
    <row r="11" spans="1:16" ht="7.5" customHeight="1">
      <c r="A11" s="226"/>
      <c r="B11" s="220"/>
      <c r="J11" s="284"/>
      <c r="K11"/>
    </row>
    <row r="12" spans="1:16" ht="16.5">
      <c r="A12" s="224" t="s">
        <v>1179</v>
      </c>
      <c r="B12" s="266"/>
      <c r="J12" s="284"/>
      <c r="K12"/>
    </row>
    <row r="13" spans="1:16" ht="16.5">
      <c r="A13" s="224" t="s">
        <v>1412</v>
      </c>
      <c r="B13" s="266"/>
      <c r="J13" s="284"/>
      <c r="K13"/>
    </row>
    <row r="14" spans="1:16" ht="16.5">
      <c r="A14" s="224" t="s">
        <v>1399</v>
      </c>
      <c r="B14" s="220"/>
      <c r="J14" s="284"/>
      <c r="K14"/>
    </row>
    <row r="15" spans="1:16" ht="16.5">
      <c r="A15" s="224" t="s">
        <v>1400</v>
      </c>
      <c r="B15" s="220"/>
      <c r="J15" s="284"/>
      <c r="K15"/>
    </row>
    <row r="16" spans="1:16" ht="8.25" customHeight="1">
      <c r="A16" s="266"/>
      <c r="B16" s="220"/>
      <c r="J16" s="284"/>
      <c r="K16"/>
    </row>
    <row r="17" spans="1:11" ht="16.5">
      <c r="A17" s="224" t="s">
        <v>1401</v>
      </c>
      <c r="B17" s="220"/>
      <c r="C17" s="266" t="s">
        <v>1402</v>
      </c>
      <c r="J17" s="284"/>
      <c r="K17"/>
    </row>
    <row r="18" spans="1:11" ht="16.5">
      <c r="A18" s="220"/>
      <c r="B18" s="220"/>
      <c r="C18" s="266" t="s">
        <v>1403</v>
      </c>
      <c r="J18" s="284"/>
      <c r="K18"/>
    </row>
    <row r="19" spans="1:11" ht="6.75" customHeight="1">
      <c r="A19" s="277"/>
      <c r="B19" s="220"/>
      <c r="J19" s="284"/>
      <c r="K19"/>
    </row>
    <row r="20" spans="1:11" ht="49.5" customHeight="1">
      <c r="A20" s="473" t="s">
        <v>1420</v>
      </c>
      <c r="B20" s="473"/>
      <c r="C20" s="473"/>
      <c r="D20" s="473"/>
      <c r="E20" s="473"/>
      <c r="F20" s="473"/>
      <c r="G20" s="473"/>
      <c r="H20" s="473"/>
      <c r="I20" s="473"/>
      <c r="J20" s="284"/>
      <c r="K20" s="282"/>
    </row>
    <row r="21" spans="1:11" ht="16.5">
      <c r="A21" s="473" t="s">
        <v>1414</v>
      </c>
      <c r="B21" s="473"/>
      <c r="C21" s="473"/>
      <c r="D21" s="473"/>
      <c r="E21" s="473"/>
      <c r="F21" s="473"/>
      <c r="G21" s="473"/>
      <c r="H21" s="473"/>
      <c r="I21" s="473"/>
      <c r="J21" s="284"/>
      <c r="K21" s="282"/>
    </row>
    <row r="22" spans="1:11" ht="35.25" customHeight="1">
      <c r="A22" s="485" t="str">
        <f>"    "&amp;VLOOKUP($J$46,VLXAY,4,0)&amp;", "&amp;VITRI&amp;", "&amp;DIEMTDC</f>
        <v xml:space="preserve">    Vật liệu trước khi xây móng đá hộc, Nhà tiểu học 3 phòng, Điểm TĐC Pom Chốn</v>
      </c>
      <c r="B22" s="485"/>
      <c r="C22" s="485"/>
      <c r="D22" s="485"/>
      <c r="E22" s="485"/>
      <c r="F22" s="485"/>
      <c r="G22" s="485"/>
      <c r="H22" s="485"/>
      <c r="I22" s="485"/>
      <c r="J22" s="284"/>
      <c r="K22"/>
    </row>
    <row r="23" spans="1:11" ht="18.75" customHeight="1">
      <c r="A23" s="266" t="s">
        <v>1415</v>
      </c>
      <c r="B23" s="220"/>
      <c r="J23" s="284"/>
      <c r="K23"/>
    </row>
    <row r="24" spans="1:11" ht="18.75" customHeight="1">
      <c r="A24" s="266" t="str">
        <f>"     Thời gian: "&amp;VLOOKUP($J$46,VLXAY,12,0)&amp;", ngày "&amp;VLOOKUP($J$46,VLXAY,14,0)&amp;" tháng "&amp;VLOOKUP($J$46,VLXAY,15,0)&amp;" năm 2014"</f>
        <v xml:space="preserve">     Thời gian: 08 giờ 00, ngày 23 tháng 08 năm 2014</v>
      </c>
      <c r="B24" s="220"/>
      <c r="J24" s="284"/>
      <c r="K24"/>
    </row>
    <row r="25" spans="1:11" ht="18.75" customHeight="1">
      <c r="A25" s="266" t="str">
        <f>"     Tại lô nhà "&amp;VITRI&amp;", "&amp;DIEMTDC</f>
        <v xml:space="preserve">     Tại lô nhà Nhà tiểu học 3 phòng, Điểm TĐC Pom Chốn</v>
      </c>
      <c r="B25" s="220"/>
      <c r="J25" s="284"/>
      <c r="K25"/>
    </row>
    <row r="26" spans="1:11" ht="16.5">
      <c r="A26" s="221" t="s">
        <v>1404</v>
      </c>
      <c r="B26" s="220"/>
      <c r="J26" s="284"/>
      <c r="K26"/>
    </row>
    <row r="27" spans="1:11" ht="16.5">
      <c r="A27" s="266"/>
      <c r="B27" s="220"/>
      <c r="J27" s="284"/>
      <c r="K27"/>
    </row>
    <row r="28" spans="1:11" ht="16.5">
      <c r="A28" s="278" t="s">
        <v>1405</v>
      </c>
      <c r="E28" s="478" t="s">
        <v>1408</v>
      </c>
      <c r="F28" s="478"/>
      <c r="G28" s="478"/>
      <c r="H28" s="478"/>
      <c r="J28" s="284"/>
      <c r="K28"/>
    </row>
    <row r="29" spans="1:11" ht="16.5">
      <c r="A29" s="279" t="s">
        <v>1406</v>
      </c>
      <c r="E29" s="478" t="s">
        <v>1409</v>
      </c>
      <c r="F29" s="478"/>
      <c r="G29" s="478"/>
      <c r="H29" s="478"/>
      <c r="J29" s="284"/>
      <c r="K29"/>
    </row>
    <row r="30" spans="1:11" ht="16.5">
      <c r="A30" s="279" t="s">
        <v>1407</v>
      </c>
      <c r="B30" s="224"/>
      <c r="J30" s="284"/>
      <c r="K30"/>
    </row>
    <row r="31" spans="1:11" ht="16.5">
      <c r="A31" s="232"/>
      <c r="B31" s="224"/>
      <c r="J31" s="284"/>
      <c r="K31"/>
    </row>
    <row r="32" spans="1:11" ht="16.5">
      <c r="A32" s="232"/>
      <c r="B32" s="224"/>
      <c r="J32" s="284"/>
      <c r="K32"/>
    </row>
    <row r="33" spans="1:11" ht="16.5">
      <c r="A33" s="232"/>
      <c r="B33" s="224"/>
      <c r="J33" s="284"/>
      <c r="K33"/>
    </row>
    <row r="34" spans="1:11" ht="14.25" customHeight="1">
      <c r="A34" s="232"/>
      <c r="E34" s="478" t="s">
        <v>1410</v>
      </c>
      <c r="F34" s="478"/>
      <c r="G34" s="478"/>
      <c r="H34" s="478"/>
      <c r="J34" s="284"/>
      <c r="K34"/>
    </row>
    <row r="35" spans="1:11" ht="16.5">
      <c r="A35" s="232"/>
      <c r="B35" s="224"/>
      <c r="J35" s="284"/>
      <c r="K35"/>
    </row>
    <row r="36" spans="1:11" ht="16.5">
      <c r="A36" s="224" t="s">
        <v>1411</v>
      </c>
      <c r="B36" s="220"/>
      <c r="J36" s="284"/>
      <c r="K36"/>
    </row>
    <row r="37" spans="1:11" ht="21" customHeight="1">
      <c r="A37" t="s">
        <v>1413</v>
      </c>
      <c r="J37" s="284"/>
      <c r="K37"/>
    </row>
    <row r="38" spans="1:11" ht="21" customHeight="1">
      <c r="A38" t="s">
        <v>1413</v>
      </c>
      <c r="J38" s="284"/>
      <c r="K38"/>
    </row>
    <row r="39" spans="1:11" ht="21" customHeight="1">
      <c r="A39" t="s">
        <v>1413</v>
      </c>
      <c r="J39" s="284"/>
      <c r="K39"/>
    </row>
    <row r="40" spans="1:11" ht="14.25">
      <c r="J40" s="284"/>
      <c r="K40"/>
    </row>
    <row r="41" spans="1:11" ht="14.25">
      <c r="A41" s="127"/>
      <c r="B41" s="127"/>
      <c r="C41" s="127"/>
      <c r="D41" s="127"/>
      <c r="E41" s="127"/>
      <c r="F41" s="127"/>
      <c r="G41" s="127"/>
      <c r="H41" s="127"/>
      <c r="I41" s="127"/>
      <c r="J41" s="284"/>
      <c r="K41"/>
    </row>
    <row r="42" spans="1:11" s="220" customFormat="1" ht="16.5">
      <c r="A42" s="475" t="s">
        <v>1173</v>
      </c>
      <c r="B42" s="475"/>
      <c r="C42" s="475"/>
      <c r="D42" s="475"/>
      <c r="E42" s="476" t="s">
        <v>1174</v>
      </c>
      <c r="F42" s="476"/>
      <c r="G42" s="476"/>
      <c r="H42" s="476"/>
      <c r="I42" s="476"/>
      <c r="J42" s="252"/>
      <c r="K42" s="256"/>
    </row>
    <row r="43" spans="1:11" s="220" customFormat="1" ht="18.75">
      <c r="A43" s="475" t="s">
        <v>1175</v>
      </c>
      <c r="B43" s="475"/>
      <c r="C43" s="475"/>
      <c r="D43" s="475"/>
      <c r="E43" s="477" t="s">
        <v>1176</v>
      </c>
      <c r="F43" s="477"/>
      <c r="G43" s="477"/>
      <c r="H43" s="477"/>
      <c r="I43" s="477"/>
      <c r="J43" s="252"/>
      <c r="K43" s="256"/>
    </row>
    <row r="44" spans="1:11" s="220" customFormat="1" ht="16.5">
      <c r="A44" s="478" t="s">
        <v>1177</v>
      </c>
      <c r="B44" s="478"/>
      <c r="C44" s="478"/>
      <c r="D44" s="478"/>
      <c r="G44" s="221"/>
      <c r="J44" s="252"/>
      <c r="K44" s="256"/>
    </row>
    <row r="45" spans="1:11" s="220" customFormat="1" ht="18.75">
      <c r="A45" s="222"/>
      <c r="B45" s="222"/>
      <c r="F45" s="479" t="str">
        <f>"Quan Hóa , ngày "&amp;VLOOKUP($J$46,VLXAY,14,0)&amp;" tháng "&amp;VLOOKUP($J$46,VLXAY,15,0)&amp;" năm 2014"</f>
        <v>Quan Hóa , ngày 23 tháng 08 năm 2014</v>
      </c>
      <c r="G45" s="479"/>
      <c r="H45" s="479"/>
      <c r="I45" s="479"/>
      <c r="J45" s="253"/>
      <c r="K45" s="256"/>
    </row>
    <row r="46" spans="1:11" s="220" customFormat="1" ht="19.5">
      <c r="A46" s="472" t="str">
        <f>"BIÊN BẢN SỐ: "&amp;VLOOKUP($J$46,VLXAY,8,0)&amp;"/VLĐV"</f>
        <v>BIÊN BẢN SỐ: 3/VLTH3PC/VLĐV</v>
      </c>
      <c r="B46" s="472"/>
      <c r="C46" s="472"/>
      <c r="D46" s="472"/>
      <c r="E46" s="472"/>
      <c r="F46" s="472"/>
      <c r="G46" s="472"/>
      <c r="H46" s="472"/>
      <c r="I46" s="472"/>
      <c r="J46" s="253">
        <f>$D$3</f>
        <v>1</v>
      </c>
      <c r="K46" s="256"/>
    </row>
    <row r="47" spans="1:11" s="220" customFormat="1" ht="19.5">
      <c r="A47" s="472" t="s">
        <v>1178</v>
      </c>
      <c r="B47" s="472"/>
      <c r="C47" s="472"/>
      <c r="D47" s="472"/>
      <c r="E47" s="472"/>
      <c r="F47" s="472"/>
      <c r="G47" s="472"/>
      <c r="H47" s="472"/>
      <c r="I47" s="472"/>
      <c r="J47" s="256"/>
      <c r="K47" s="256"/>
    </row>
    <row r="48" spans="1:11" s="220" customFormat="1" ht="8.25" customHeight="1">
      <c r="A48" s="223"/>
      <c r="B48" s="223"/>
      <c r="J48" s="252"/>
      <c r="K48" s="256"/>
    </row>
    <row r="49" spans="1:11" s="220" customFormat="1" ht="21.75" customHeight="1">
      <c r="A49" s="224" t="s">
        <v>1179</v>
      </c>
      <c r="B49" s="224"/>
      <c r="D49" s="225"/>
      <c r="J49" s="252"/>
      <c r="K49" s="256"/>
    </row>
    <row r="50" spans="1:11" s="220" customFormat="1" ht="21.75" customHeight="1">
      <c r="A50" s="224" t="s">
        <v>1180</v>
      </c>
      <c r="B50" s="224"/>
      <c r="D50" s="225"/>
      <c r="J50" s="252"/>
      <c r="K50" s="256"/>
    </row>
    <row r="51" spans="1:11" s="220" customFormat="1" ht="21.75" customHeight="1">
      <c r="A51" s="224" t="s">
        <v>1181</v>
      </c>
      <c r="B51" s="224"/>
      <c r="J51" s="252"/>
      <c r="K51" s="256"/>
    </row>
    <row r="52" spans="1:11" s="220" customFormat="1" ht="21.75" customHeight="1">
      <c r="A52" s="224" t="s">
        <v>1182</v>
      </c>
      <c r="B52" s="224"/>
      <c r="J52" s="252"/>
      <c r="K52" s="256"/>
    </row>
    <row r="53" spans="1:11" s="220" customFormat="1" ht="8.25" customHeight="1">
      <c r="A53" s="224"/>
      <c r="B53" s="224"/>
      <c r="J53" s="252"/>
      <c r="K53" s="256"/>
    </row>
    <row r="54" spans="1:11" s="220" customFormat="1" ht="16.5">
      <c r="A54" s="224" t="s">
        <v>1183</v>
      </c>
      <c r="B54" s="224"/>
      <c r="J54" s="252"/>
      <c r="K54" s="256"/>
    </row>
    <row r="55" spans="1:11" s="220" customFormat="1" ht="32.25" customHeight="1">
      <c r="A55" s="473" t="str">
        <f>"- "&amp;VLOOKUP($J$46,VLXAY,4,0)&amp;", "&amp;VITRI&amp;", "&amp;DIEMTDC</f>
        <v>- Vật liệu trước khi xây móng đá hộc, Nhà tiểu học 3 phòng, Điểm TĐC Pom Chốn</v>
      </c>
      <c r="B55" s="473"/>
      <c r="C55" s="473"/>
      <c r="D55" s="473"/>
      <c r="E55" s="473"/>
      <c r="F55" s="473"/>
      <c r="G55" s="473"/>
      <c r="H55" s="473"/>
      <c r="I55" s="473"/>
      <c r="J55" s="253"/>
      <c r="K55" s="256"/>
    </row>
    <row r="56" spans="1:11" s="220" customFormat="1" ht="20.25" customHeight="1">
      <c r="A56" s="224" t="s">
        <v>1185</v>
      </c>
      <c r="B56" s="224"/>
      <c r="J56" s="252"/>
      <c r="K56" s="256"/>
    </row>
    <row r="57" spans="1:11" s="220" customFormat="1" ht="21.75" customHeight="1">
      <c r="A57" s="226" t="s">
        <v>1186</v>
      </c>
      <c r="B57" s="226"/>
      <c r="J57" s="252"/>
      <c r="K57" s="256"/>
    </row>
    <row r="58" spans="1:11" s="220" customFormat="1" ht="21.75" customHeight="1">
      <c r="A58" s="239" t="s">
        <v>1359</v>
      </c>
      <c r="B58" s="262" t="str">
        <f>TPCDT</f>
        <v>..........................................</v>
      </c>
      <c r="F58" s="335" t="str">
        <f>"Chức vụ: "&amp;CVCDT</f>
        <v>Chức vụ: .................................</v>
      </c>
      <c r="J58" s="252"/>
      <c r="K58" s="256"/>
    </row>
    <row r="59" spans="1:11" s="220" customFormat="1" ht="21.75" customHeight="1">
      <c r="A59" s="225" t="s">
        <v>1187</v>
      </c>
      <c r="B59" s="225"/>
      <c r="F59" s="351" t="s">
        <v>1188</v>
      </c>
      <c r="J59" s="252"/>
      <c r="K59" s="256"/>
    </row>
    <row r="60" spans="1:11" s="220" customFormat="1" ht="21.75" customHeight="1">
      <c r="A60" s="226" t="s">
        <v>1189</v>
      </c>
      <c r="B60" s="226"/>
      <c r="J60" s="252"/>
      <c r="K60" s="256"/>
    </row>
    <row r="61" spans="1:11" s="220" customFormat="1" ht="21.75" customHeight="1">
      <c r="A61" s="239" t="s">
        <v>1359</v>
      </c>
      <c r="B61" s="262" t="str">
        <f>TPTVGS</f>
        <v>..........................................</v>
      </c>
      <c r="F61" s="335" t="str">
        <f>"Chức vụ: "&amp;CVGS</f>
        <v>Chức vụ: .................................</v>
      </c>
      <c r="J61" s="253"/>
      <c r="K61" s="256"/>
    </row>
    <row r="62" spans="1:11" s="220" customFormat="1" ht="21.75" customHeight="1">
      <c r="A62" s="225" t="s">
        <v>1187</v>
      </c>
      <c r="B62" s="225"/>
      <c r="F62" s="351" t="s">
        <v>1188</v>
      </c>
      <c r="J62" s="252"/>
      <c r="K62" s="256"/>
    </row>
    <row r="63" spans="1:11" s="220" customFormat="1" ht="21.75" customHeight="1">
      <c r="A63" s="226" t="s">
        <v>1190</v>
      </c>
      <c r="B63" s="226"/>
      <c r="J63" s="252"/>
      <c r="K63" s="256"/>
    </row>
    <row r="64" spans="1:11" s="220" customFormat="1" ht="21.75" customHeight="1">
      <c r="A64" s="239" t="s">
        <v>1359</v>
      </c>
      <c r="B64" s="225" t="str">
        <f>TPDVTC</f>
        <v>Lê Văn Thái</v>
      </c>
      <c r="F64" s="225" t="s">
        <v>1191</v>
      </c>
      <c r="J64" s="253"/>
      <c r="K64" s="256"/>
    </row>
    <row r="65" spans="1:11" s="220" customFormat="1" ht="21.75" customHeight="1">
      <c r="A65" s="225" t="s">
        <v>1187</v>
      </c>
      <c r="B65" s="225"/>
      <c r="F65" s="225" t="s">
        <v>1188</v>
      </c>
      <c r="J65" s="252"/>
      <c r="K65" s="256"/>
    </row>
    <row r="66" spans="1:11" s="220" customFormat="1" ht="9" customHeight="1">
      <c r="A66" s="225"/>
      <c r="B66" s="225"/>
      <c r="F66" s="225"/>
      <c r="J66" s="252"/>
      <c r="K66" s="256"/>
    </row>
    <row r="67" spans="1:11" s="220" customFormat="1" ht="20.25" customHeight="1">
      <c r="A67" s="224" t="s">
        <v>1192</v>
      </c>
      <c r="B67" s="224"/>
      <c r="J67" s="252"/>
      <c r="K67" s="256"/>
    </row>
    <row r="68" spans="1:11" s="220" customFormat="1" ht="21.75" customHeight="1">
      <c r="A68" s="225" t="str">
        <f>"Bắt đầu: "&amp;VLOOKUP($J$46,VLXAY,12,0)&amp;", ngày "&amp;VLOOKUP($J$46,VLXAY,14,0)&amp;" tháng "&amp;VLOOKUP($J$46,VLXAY,15,0)&amp;" năm 2014"</f>
        <v>Bắt đầu: 08 giờ 00, ngày 23 tháng 08 năm 2014</v>
      </c>
      <c r="B68" s="225"/>
      <c r="J68" s="253"/>
      <c r="K68" s="256"/>
    </row>
    <row r="69" spans="1:11" s="220" customFormat="1" ht="21.75" customHeight="1">
      <c r="A69" s="225" t="str">
        <f>"Kết thúc: "&amp;VLOOKUP($J$46,VLXAY,13,0)&amp;", ngày "&amp;VLOOKUP($J$46,VLXAY,14,0)&amp;" tháng "&amp;VLOOKUP($J$46,VLXAY,15,0)&amp;" năm 2014"</f>
        <v>Kết thúc: 09 giờ 00, ngày 23 tháng 08 năm 2014</v>
      </c>
      <c r="B69" s="225"/>
      <c r="J69" s="253"/>
      <c r="K69" s="256"/>
    </row>
    <row r="70" spans="1:11" s="220" customFormat="1" ht="21.75" customHeight="1">
      <c r="A70" s="225" t="str">
        <f>"Tại: "&amp;VITRI&amp;" - "&amp;DIEMTDC</f>
        <v>Tại: Nhà tiểu học 3 phòng - Điểm TĐC Pom Chốn</v>
      </c>
      <c r="B70" s="225"/>
      <c r="J70" s="253"/>
      <c r="K70" s="256"/>
    </row>
    <row r="71" spans="1:11" s="220" customFormat="1" ht="9" customHeight="1">
      <c r="A71" s="225"/>
      <c r="B71" s="225"/>
      <c r="J71" s="252"/>
      <c r="K71" s="256"/>
    </row>
    <row r="72" spans="1:11" s="220" customFormat="1" ht="20.25" customHeight="1">
      <c r="A72" s="224" t="s">
        <v>1193</v>
      </c>
      <c r="B72" s="224"/>
      <c r="J72" s="252"/>
      <c r="K72" s="256"/>
    </row>
    <row r="73" spans="1:11" s="220" customFormat="1" ht="24" customHeight="1">
      <c r="A73" s="474" t="str">
        <f>"- Phiếu yêu cầu nghiệm thu của nhà thầu thi công số : "&amp;VLOOKUP($J$46,VLXAY,7,0)&amp;"/PYC"</f>
        <v>- Phiếu yêu cầu nghiệm thu của nhà thầu thi công số : 3/VLTH3PC/PYC</v>
      </c>
      <c r="B73" s="474"/>
      <c r="C73" s="474"/>
      <c r="D73" s="474"/>
      <c r="E73" s="474"/>
      <c r="F73" s="474"/>
      <c r="G73" s="474"/>
      <c r="H73" s="474"/>
      <c r="I73" s="474"/>
      <c r="J73" s="253"/>
      <c r="K73" s="256"/>
    </row>
    <row r="74" spans="1:11" s="220" customFormat="1" ht="35.25" customHeight="1">
      <c r="A74" s="473" t="s">
        <v>1184</v>
      </c>
      <c r="B74" s="473"/>
      <c r="C74" s="473"/>
      <c r="D74" s="473"/>
      <c r="E74" s="473"/>
      <c r="F74" s="473"/>
      <c r="G74" s="473"/>
      <c r="H74" s="473"/>
      <c r="I74" s="473"/>
      <c r="J74" s="252"/>
      <c r="K74" s="256"/>
    </row>
    <row r="75" spans="1:11" s="220" customFormat="1" ht="24" customHeight="1">
      <c r="A75" s="474" t="s">
        <v>1194</v>
      </c>
      <c r="B75" s="474"/>
      <c r="C75" s="474"/>
      <c r="D75" s="474"/>
      <c r="E75" s="474"/>
      <c r="F75" s="474"/>
      <c r="G75" s="474"/>
      <c r="H75" s="474"/>
      <c r="I75" s="474"/>
      <c r="J75" s="252"/>
      <c r="K75" s="256"/>
    </row>
    <row r="76" spans="1:11" s="220" customFormat="1" ht="35.25" customHeight="1">
      <c r="A76" s="473" t="s">
        <v>1195</v>
      </c>
      <c r="B76" s="473"/>
      <c r="C76" s="473"/>
      <c r="D76" s="473"/>
      <c r="E76" s="473"/>
      <c r="F76" s="473"/>
      <c r="G76" s="473"/>
      <c r="H76" s="473"/>
      <c r="I76" s="473"/>
      <c r="J76" s="252"/>
      <c r="K76" s="256"/>
    </row>
    <row r="77" spans="1:11" s="220" customFormat="1" ht="24" customHeight="1">
      <c r="A77" s="474" t="s">
        <v>1196</v>
      </c>
      <c r="B77" s="474"/>
      <c r="C77" s="474"/>
      <c r="D77" s="474"/>
      <c r="E77" s="474"/>
      <c r="F77" s="474"/>
      <c r="G77" s="474"/>
      <c r="H77" s="474"/>
      <c r="I77" s="474"/>
      <c r="J77" s="252"/>
      <c r="K77" s="256"/>
    </row>
    <row r="78" spans="1:11" s="220" customFormat="1" ht="16.5">
      <c r="A78" s="224" t="s">
        <v>1197</v>
      </c>
      <c r="B78" s="224"/>
      <c r="J78" s="252"/>
      <c r="K78" s="256"/>
    </row>
    <row r="79" spans="1:11" s="220" customFormat="1" ht="9" customHeight="1">
      <c r="A79" s="227"/>
      <c r="B79" s="227"/>
      <c r="J79" s="252"/>
      <c r="K79" s="256"/>
    </row>
    <row r="80" spans="1:11" s="220" customFormat="1" ht="45.75" customHeight="1">
      <c r="A80" s="495" t="s">
        <v>874</v>
      </c>
      <c r="B80" s="495" t="s">
        <v>1198</v>
      </c>
      <c r="C80" s="495"/>
      <c r="D80" s="495" t="s">
        <v>1199</v>
      </c>
      <c r="E80" s="495" t="s">
        <v>1200</v>
      </c>
      <c r="F80" s="495" t="s">
        <v>1201</v>
      </c>
      <c r="G80" s="495"/>
      <c r="H80" s="495" t="s">
        <v>1202</v>
      </c>
      <c r="I80" s="495"/>
      <c r="J80" s="252"/>
      <c r="K80" s="256"/>
    </row>
    <row r="81" spans="1:14" s="220" customFormat="1" ht="31.5">
      <c r="A81" s="495"/>
      <c r="B81" s="495"/>
      <c r="C81" s="495"/>
      <c r="D81" s="495"/>
      <c r="E81" s="495"/>
      <c r="F81" s="495"/>
      <c r="G81" s="495"/>
      <c r="H81" s="228" t="s">
        <v>1203</v>
      </c>
      <c r="I81" s="228" t="s">
        <v>1204</v>
      </c>
      <c r="J81" s="252"/>
      <c r="K81" s="256"/>
    </row>
    <row r="82" spans="1:14" s="220" customFormat="1" ht="15.75">
      <c r="A82" s="229">
        <v>1</v>
      </c>
      <c r="B82" s="483" t="s">
        <v>1205</v>
      </c>
      <c r="C82" s="483"/>
      <c r="D82" s="229" t="s">
        <v>1272</v>
      </c>
      <c r="E82" s="326">
        <f>VLOOKUP($J$46,VLXAY,29,0)</f>
        <v>5548.96</v>
      </c>
      <c r="F82" s="483" t="s">
        <v>1206</v>
      </c>
      <c r="G82" s="483"/>
      <c r="H82" s="249" t="s">
        <v>1230</v>
      </c>
      <c r="I82" s="229"/>
      <c r="J82" s="253"/>
      <c r="K82" s="256"/>
    </row>
    <row r="83" spans="1:14" s="220" customFormat="1" ht="33" customHeight="1">
      <c r="A83" s="229">
        <v>2</v>
      </c>
      <c r="B83" s="483" t="str">
        <f>IF($B$84=$M$84,$N$84,"Cát xây trát")</f>
        <v>Cát vàng bê tông</v>
      </c>
      <c r="C83" s="483"/>
      <c r="D83" s="229" t="s">
        <v>1274</v>
      </c>
      <c r="E83" s="326">
        <f>VLOOKUP($J$46,VLXAY,30,0)</f>
        <v>20.99</v>
      </c>
      <c r="F83" s="484" t="s">
        <v>1208</v>
      </c>
      <c r="G83" s="483"/>
      <c r="H83" s="249" t="s">
        <v>1230</v>
      </c>
      <c r="I83" s="229"/>
      <c r="J83" s="253"/>
      <c r="K83" s="256"/>
    </row>
    <row r="84" spans="1:14" s="220" customFormat="1" ht="33" customHeight="1">
      <c r="A84" s="229">
        <v>3</v>
      </c>
      <c r="B84" s="483" t="str">
        <f>VLOOKUP($J$46,LOAIVLXAY,28,0)</f>
        <v>Đá hộc</v>
      </c>
      <c r="C84" s="483"/>
      <c r="D84" s="229" t="str">
        <f>VLOOKUP(B84,'9.1.LMVX'!$AB$1:$AC$1541,2,0)</f>
        <v>m3</v>
      </c>
      <c r="E84" s="326">
        <f>VLOOKUP($J$46,VLXAY,31,0)</f>
        <v>53.56</v>
      </c>
      <c r="F84" s="484" t="s">
        <v>1208</v>
      </c>
      <c r="G84" s="483"/>
      <c r="H84" s="249" t="s">
        <v>1230</v>
      </c>
      <c r="I84" s="229"/>
      <c r="J84" s="253"/>
      <c r="M84" s="314" t="s">
        <v>1478</v>
      </c>
      <c r="N84" s="314" t="s">
        <v>1207</v>
      </c>
    </row>
    <row r="85" spans="1:14" s="220" customFormat="1" ht="22.5" customHeight="1">
      <c r="A85" s="474" t="s">
        <v>1210</v>
      </c>
      <c r="B85" s="474"/>
      <c r="C85" s="474"/>
      <c r="D85" s="474"/>
      <c r="E85" s="474"/>
      <c r="F85" s="474"/>
      <c r="G85" s="474"/>
      <c r="H85" s="474"/>
      <c r="I85" s="474"/>
      <c r="J85" s="252"/>
      <c r="K85" s="256"/>
    </row>
    <row r="86" spans="1:14" s="220" customFormat="1" ht="8.25" customHeight="1">
      <c r="A86" s="225"/>
      <c r="B86" s="225"/>
      <c r="C86" s="225"/>
      <c r="D86" s="225"/>
      <c r="E86" s="225"/>
      <c r="F86" s="225"/>
      <c r="G86" s="225"/>
      <c r="H86" s="225"/>
      <c r="I86" s="225"/>
      <c r="J86" s="252"/>
      <c r="K86" s="256"/>
    </row>
    <row r="87" spans="1:14" s="220" customFormat="1" ht="22.5" customHeight="1">
      <c r="A87" s="224" t="s">
        <v>1211</v>
      </c>
      <c r="B87" s="224"/>
      <c r="J87" s="252"/>
      <c r="K87" s="256"/>
    </row>
    <row r="88" spans="1:14" s="220" customFormat="1" ht="22.5" customHeight="1">
      <c r="A88" s="225" t="s">
        <v>1212</v>
      </c>
      <c r="B88" s="225"/>
      <c r="J88" s="252"/>
      <c r="K88" s="256"/>
    </row>
    <row r="89" spans="1:14" s="220" customFormat="1" ht="22.5" customHeight="1">
      <c r="A89" s="225" t="s">
        <v>1213</v>
      </c>
      <c r="B89" s="225"/>
      <c r="J89" s="252"/>
      <c r="K89" s="256"/>
    </row>
    <row r="90" spans="1:14" s="220" customFormat="1" ht="22.5" customHeight="1">
      <c r="A90" s="225"/>
      <c r="B90" s="225"/>
      <c r="J90" s="252"/>
      <c r="K90" s="256"/>
    </row>
    <row r="91" spans="1:14" s="230" customFormat="1" ht="16.5" customHeight="1">
      <c r="A91" s="505" t="s">
        <v>1214</v>
      </c>
      <c r="B91" s="505"/>
      <c r="C91" s="505"/>
      <c r="D91" s="505"/>
      <c r="E91" s="505"/>
      <c r="F91" s="505"/>
      <c r="G91" s="505"/>
      <c r="H91" s="505"/>
      <c r="I91" s="505"/>
      <c r="J91" s="254"/>
      <c r="K91" s="257"/>
    </row>
    <row r="92" spans="1:14" s="260" customFormat="1">
      <c r="A92" s="505" t="s">
        <v>1170</v>
      </c>
      <c r="B92" s="505"/>
      <c r="C92" s="505"/>
      <c r="D92" s="505"/>
      <c r="E92" s="507" t="s">
        <v>872</v>
      </c>
      <c r="F92" s="507"/>
      <c r="G92" s="505" t="s">
        <v>1215</v>
      </c>
      <c r="H92" s="505"/>
      <c r="I92" s="505"/>
      <c r="J92" s="258"/>
      <c r="K92" s="259"/>
    </row>
    <row r="93" spans="1:14" s="220" customFormat="1" ht="16.5" hidden="1">
      <c r="A93" s="224"/>
      <c r="B93" s="224"/>
      <c r="C93" s="231"/>
      <c r="D93" s="224"/>
      <c r="J93" s="252"/>
      <c r="K93" s="256"/>
    </row>
    <row r="94" spans="1:14" s="220" customFormat="1" ht="16.5" hidden="1">
      <c r="A94" s="224"/>
      <c r="B94" s="224"/>
      <c r="C94" s="231"/>
      <c r="D94" s="224"/>
      <c r="J94" s="252"/>
      <c r="K94" s="256"/>
    </row>
    <row r="95" spans="1:14" s="220" customFormat="1" ht="16.5">
      <c r="A95" s="224"/>
      <c r="B95" s="224"/>
      <c r="C95" s="231"/>
      <c r="D95" s="224"/>
      <c r="J95" s="252"/>
      <c r="K95" s="256"/>
    </row>
    <row r="96" spans="1:14" s="220" customFormat="1" ht="16.5">
      <c r="A96" s="224"/>
      <c r="B96" s="224"/>
      <c r="C96" s="231"/>
      <c r="D96" s="224"/>
      <c r="J96" s="252"/>
      <c r="K96" s="256"/>
    </row>
    <row r="97" spans="1:11" s="220" customFormat="1" ht="16.5">
      <c r="A97" s="224"/>
      <c r="B97" s="224"/>
      <c r="C97" s="231"/>
      <c r="D97" s="224"/>
      <c r="J97" s="252"/>
      <c r="K97" s="256"/>
    </row>
    <row r="98" spans="1:11" s="269" customFormat="1">
      <c r="A98" s="505" t="str">
        <f>TPCDT</f>
        <v>..........................................</v>
      </c>
      <c r="B98" s="505"/>
      <c r="C98" s="505"/>
      <c r="D98" s="505"/>
      <c r="E98" s="505" t="str">
        <f>TPTVGS</f>
        <v>..........................................</v>
      </c>
      <c r="F98" s="505"/>
      <c r="G98" s="505" t="str">
        <f>TPDVTC</f>
        <v>Lê Văn Thái</v>
      </c>
      <c r="H98" s="505"/>
      <c r="I98" s="505"/>
      <c r="J98" s="252"/>
      <c r="K98" s="256"/>
    </row>
    <row r="99" spans="1:11" s="220" customFormat="1" ht="16.5">
      <c r="A99" s="232"/>
      <c r="B99" s="232"/>
      <c r="C99" s="231"/>
      <c r="D99" s="224"/>
      <c r="J99" s="252"/>
      <c r="K99" s="256"/>
    </row>
    <row r="100" spans="1:11" s="220" customFormat="1" ht="16.5">
      <c r="A100" s="225"/>
      <c r="B100" s="225"/>
      <c r="J100" s="252"/>
      <c r="K100" s="256"/>
    </row>
    <row r="101" spans="1:11" s="220" customFormat="1">
      <c r="J101" s="252"/>
      <c r="K101" s="256"/>
    </row>
    <row r="102" spans="1:11" s="220" customFormat="1">
      <c r="J102" s="252"/>
      <c r="K102" s="256"/>
    </row>
    <row r="103" spans="1:11" s="220" customFormat="1">
      <c r="J103" s="252"/>
      <c r="K103" s="256"/>
    </row>
    <row r="104" spans="1:11" s="220" customFormat="1">
      <c r="J104" s="252"/>
      <c r="K104" s="256"/>
    </row>
    <row r="105" spans="1:11" s="220" customFormat="1">
      <c r="J105" s="252"/>
      <c r="K105" s="256"/>
    </row>
    <row r="106" spans="1:11" s="220" customFormat="1">
      <c r="J106" s="252"/>
      <c r="K106" s="256"/>
    </row>
    <row r="107" spans="1:11" s="220" customFormat="1">
      <c r="J107" s="252"/>
      <c r="K107" s="256"/>
    </row>
    <row r="108" spans="1:11" s="220" customFormat="1">
      <c r="J108" s="252"/>
      <c r="K108" s="256"/>
    </row>
    <row r="109" spans="1:11" s="220" customFormat="1">
      <c r="J109" s="252"/>
      <c r="K109" s="256"/>
    </row>
    <row r="116" spans="1:11">
      <c r="A116" s="127"/>
      <c r="B116" s="127"/>
      <c r="C116" s="127"/>
      <c r="D116" s="127"/>
      <c r="E116" s="127"/>
      <c r="F116" s="127"/>
      <c r="G116" s="127"/>
      <c r="H116" s="127"/>
      <c r="I116" s="127"/>
    </row>
    <row r="117" spans="1:11">
      <c r="A117" s="127"/>
      <c r="B117" s="127"/>
      <c r="C117" s="127"/>
      <c r="D117" s="127"/>
      <c r="E117" s="127"/>
      <c r="F117" s="127"/>
      <c r="G117" s="127"/>
      <c r="H117" s="127"/>
      <c r="I117" s="127"/>
    </row>
    <row r="118" spans="1:11" ht="16.5">
      <c r="A118" s="476" t="s">
        <v>1396</v>
      </c>
      <c r="B118" s="476"/>
      <c r="C118" s="476"/>
      <c r="D118" s="248"/>
      <c r="E118" s="476" t="s">
        <v>1174</v>
      </c>
      <c r="F118" s="476"/>
      <c r="G118" s="476"/>
      <c r="H118" s="476"/>
      <c r="I118" s="476"/>
      <c r="J118" s="284"/>
      <c r="K118"/>
    </row>
    <row r="119" spans="1:11" ht="18.75">
      <c r="A119" s="476" t="s">
        <v>1397</v>
      </c>
      <c r="B119" s="476"/>
      <c r="C119" s="476"/>
      <c r="D119" s="248"/>
      <c r="E119" s="477" t="s">
        <v>1176</v>
      </c>
      <c r="F119" s="477"/>
      <c r="G119" s="477"/>
      <c r="H119" s="477"/>
      <c r="I119" s="477"/>
      <c r="J119" s="284"/>
      <c r="K119"/>
    </row>
    <row r="120" spans="1:11" ht="16.5">
      <c r="A120" s="478" t="s">
        <v>1398</v>
      </c>
      <c r="B120" s="478"/>
      <c r="C120" s="478"/>
      <c r="J120" s="284"/>
      <c r="K120"/>
    </row>
    <row r="121" spans="1:11" ht="16.5">
      <c r="A121" s="280"/>
      <c r="B121" s="266"/>
      <c r="E121" s="492" t="str">
        <f>"Quan Hóa , ngày "&amp;VLOOKUP($J$160,LMXAY,9,0)&amp;" tháng "&amp;VLOOKUP($J$160,LMXAY,10,0)&amp;" năm 2014"</f>
        <v>Quan Hóa , ngày 23 tháng 08 năm 2014</v>
      </c>
      <c r="F121" s="492"/>
      <c r="G121" s="492"/>
      <c r="H121" s="492"/>
      <c r="I121" s="492"/>
      <c r="J121" s="284"/>
      <c r="K121"/>
    </row>
    <row r="122" spans="1:11" ht="6.75" customHeight="1">
      <c r="A122" s="280"/>
      <c r="J122" s="284"/>
      <c r="K122"/>
    </row>
    <row r="123" spans="1:11" ht="18.75">
      <c r="A123" s="470" t="str">
        <f>"PHIẾU YÊU CẦU SỐ: "&amp;VLOOKUP($J$160,LMXAY,7,0)&amp;"/PYC"</f>
        <v>PHIẾU YÊU CẦU SỐ: 3/LMTH3PC/PYC</v>
      </c>
      <c r="B123" s="470"/>
      <c r="C123" s="470"/>
      <c r="D123" s="470"/>
      <c r="E123" s="470"/>
      <c r="F123" s="470"/>
      <c r="G123" s="470"/>
      <c r="H123" s="470"/>
      <c r="I123" s="470"/>
      <c r="J123" s="284"/>
      <c r="K123"/>
    </row>
    <row r="124" spans="1:11" ht="30" customHeight="1">
      <c r="A124" s="506" t="str">
        <f>"("&amp;VLOOKUP($J$160,LMXAY,4,0)&amp;")"</f>
        <v>(Lấy mẫu vữa xi măng xây móng đá hộc)</v>
      </c>
      <c r="B124" s="506"/>
      <c r="C124" s="506"/>
      <c r="D124" s="506"/>
      <c r="E124" s="506"/>
      <c r="F124" s="506"/>
      <c r="G124" s="506"/>
      <c r="H124" s="506"/>
      <c r="I124" s="506"/>
      <c r="J124" s="284"/>
      <c r="K124"/>
    </row>
    <row r="125" spans="1:11" ht="7.5" customHeight="1">
      <c r="A125" s="226"/>
      <c r="B125" s="220"/>
      <c r="J125" s="284"/>
      <c r="K125"/>
    </row>
    <row r="126" spans="1:11" ht="16.5">
      <c r="A126" s="224" t="s">
        <v>1179</v>
      </c>
      <c r="B126" s="266"/>
      <c r="J126" s="284"/>
      <c r="K126"/>
    </row>
    <row r="127" spans="1:11" ht="16.5">
      <c r="A127" s="224" t="s">
        <v>1412</v>
      </c>
      <c r="B127" s="266"/>
      <c r="J127" s="284"/>
      <c r="K127"/>
    </row>
    <row r="128" spans="1:11" ht="16.5">
      <c r="A128" s="224" t="s">
        <v>1399</v>
      </c>
      <c r="B128" s="220"/>
      <c r="J128" s="284"/>
      <c r="K128"/>
    </row>
    <row r="129" spans="1:11" ht="16.5">
      <c r="A129" s="224" t="s">
        <v>1400</v>
      </c>
      <c r="B129" s="220"/>
      <c r="J129" s="284"/>
      <c r="K129"/>
    </row>
    <row r="130" spans="1:11" ht="8.25" customHeight="1">
      <c r="A130" s="266"/>
      <c r="B130" s="220"/>
      <c r="J130" s="284"/>
      <c r="K130"/>
    </row>
    <row r="131" spans="1:11" ht="16.5">
      <c r="A131" s="224" t="s">
        <v>1401</v>
      </c>
      <c r="B131" s="220"/>
      <c r="C131" s="266" t="s">
        <v>1402</v>
      </c>
      <c r="J131" s="284"/>
      <c r="K131"/>
    </row>
    <row r="132" spans="1:11" ht="16.5">
      <c r="A132" s="220"/>
      <c r="B132" s="220"/>
      <c r="C132" s="266" t="s">
        <v>1403</v>
      </c>
      <c r="J132" s="284"/>
      <c r="K132"/>
    </row>
    <row r="133" spans="1:11" ht="6.75" customHeight="1">
      <c r="A133" s="277"/>
      <c r="B133" s="220"/>
      <c r="J133" s="284"/>
      <c r="K133"/>
    </row>
    <row r="134" spans="1:11" ht="49.5" customHeight="1">
      <c r="A134" s="473" t="s">
        <v>1420</v>
      </c>
      <c r="B134" s="473"/>
      <c r="C134" s="473"/>
      <c r="D134" s="473"/>
      <c r="E134" s="473"/>
      <c r="F134" s="473"/>
      <c r="G134" s="473"/>
      <c r="H134" s="473"/>
      <c r="I134" s="473"/>
      <c r="J134" s="284"/>
      <c r="K134" s="282"/>
    </row>
    <row r="135" spans="1:11" ht="16.5">
      <c r="A135" s="473" t="s">
        <v>1414</v>
      </c>
      <c r="B135" s="473"/>
      <c r="C135" s="473"/>
      <c r="D135" s="473"/>
      <c r="E135" s="473"/>
      <c r="F135" s="473"/>
      <c r="G135" s="473"/>
      <c r="H135" s="473"/>
      <c r="I135" s="473"/>
      <c r="J135" s="284"/>
      <c r="K135" s="282"/>
    </row>
    <row r="136" spans="1:11" ht="35.25" customHeight="1">
      <c r="A136" s="485" t="str">
        <f>"    "&amp;VLOOKUP($J$160,LMXAY,4,0)&amp;", "&amp;VITRI&amp;", "&amp;DIEMTDC</f>
        <v xml:space="preserve">    Lấy mẫu vữa xi măng xây móng đá hộc, Nhà tiểu học 3 phòng, Điểm TĐC Pom Chốn</v>
      </c>
      <c r="B136" s="485"/>
      <c r="C136" s="485"/>
      <c r="D136" s="485"/>
      <c r="E136" s="485"/>
      <c r="F136" s="485"/>
      <c r="G136" s="485"/>
      <c r="H136" s="485"/>
      <c r="I136" s="485"/>
      <c r="J136" s="284"/>
      <c r="K136"/>
    </row>
    <row r="137" spans="1:11" ht="18.75" customHeight="1">
      <c r="A137" s="266" t="s">
        <v>1415</v>
      </c>
      <c r="B137" s="220"/>
      <c r="J137" s="284"/>
      <c r="K137"/>
    </row>
    <row r="138" spans="1:11" ht="18.75" customHeight="1">
      <c r="A138" s="266" t="str">
        <f>"     Thời gian: "&amp;VLOOKUP($J$160,LMXAY,12,0)&amp;", ngày "&amp;VLOOKUP($J$160,LMXAY,14,0)&amp;" tháng "&amp;VLOOKUP($J$160,LMXAY,15,0)&amp;" năm 2014"</f>
        <v xml:space="preserve">     Thời gian: 09 giờ 00, ngày 24 tháng 08 năm 2014</v>
      </c>
      <c r="B138" s="220"/>
      <c r="J138" s="284"/>
      <c r="K138"/>
    </row>
    <row r="139" spans="1:11" ht="18.75" customHeight="1">
      <c r="A139" s="266" t="str">
        <f>"     Tại lô nhà "&amp;VITRI&amp;", "&amp;DIEMTDC</f>
        <v xml:space="preserve">     Tại lô nhà Nhà tiểu học 3 phòng, Điểm TĐC Pom Chốn</v>
      </c>
      <c r="B139" s="220"/>
      <c r="J139" s="284"/>
      <c r="K139"/>
    </row>
    <row r="140" spans="1:11" ht="16.5">
      <c r="A140" s="221" t="s">
        <v>1404</v>
      </c>
      <c r="B140" s="220"/>
      <c r="J140" s="284"/>
      <c r="K140"/>
    </row>
    <row r="141" spans="1:11" ht="16.5">
      <c r="A141" s="266"/>
      <c r="B141" s="220"/>
      <c r="J141" s="284"/>
      <c r="K141"/>
    </row>
    <row r="142" spans="1:11" ht="16.5">
      <c r="A142" s="278" t="s">
        <v>1405</v>
      </c>
      <c r="E142" s="478" t="s">
        <v>1408</v>
      </c>
      <c r="F142" s="478"/>
      <c r="G142" s="478"/>
      <c r="H142" s="478"/>
      <c r="J142" s="284"/>
      <c r="K142"/>
    </row>
    <row r="143" spans="1:11" ht="16.5">
      <c r="A143" s="279" t="s">
        <v>1406</v>
      </c>
      <c r="E143" s="478" t="s">
        <v>1409</v>
      </c>
      <c r="F143" s="478"/>
      <c r="G143" s="478"/>
      <c r="H143" s="478"/>
      <c r="J143" s="284"/>
      <c r="K143"/>
    </row>
    <row r="144" spans="1:11" ht="16.5">
      <c r="A144" s="279" t="s">
        <v>1407</v>
      </c>
      <c r="B144" s="224"/>
      <c r="J144" s="284"/>
      <c r="K144"/>
    </row>
    <row r="145" spans="1:11" ht="16.5">
      <c r="A145" s="232"/>
      <c r="B145" s="224"/>
      <c r="J145" s="284"/>
      <c r="K145"/>
    </row>
    <row r="146" spans="1:11" ht="16.5">
      <c r="A146" s="232"/>
      <c r="B146" s="224"/>
      <c r="J146" s="284"/>
      <c r="K146"/>
    </row>
    <row r="147" spans="1:11" ht="16.5">
      <c r="A147" s="232"/>
      <c r="B147" s="224"/>
      <c r="J147" s="284"/>
      <c r="K147"/>
    </row>
    <row r="148" spans="1:11" ht="14.25" customHeight="1">
      <c r="A148" s="232"/>
      <c r="E148" s="478" t="s">
        <v>1410</v>
      </c>
      <c r="F148" s="478"/>
      <c r="G148" s="478"/>
      <c r="H148" s="478"/>
      <c r="J148" s="284"/>
      <c r="K148"/>
    </row>
    <row r="149" spans="1:11" ht="16.5">
      <c r="A149" s="232"/>
      <c r="B149" s="224"/>
      <c r="J149" s="284"/>
      <c r="K149"/>
    </row>
    <row r="150" spans="1:11" ht="16.5">
      <c r="A150" s="224" t="s">
        <v>1411</v>
      </c>
      <c r="B150" s="220"/>
      <c r="J150" s="284"/>
      <c r="K150"/>
    </row>
    <row r="151" spans="1:11" ht="21" customHeight="1">
      <c r="A151" t="s">
        <v>1413</v>
      </c>
      <c r="J151" s="284"/>
      <c r="K151"/>
    </row>
    <row r="152" spans="1:11" ht="21" customHeight="1">
      <c r="A152" t="s">
        <v>1413</v>
      </c>
      <c r="J152" s="284"/>
      <c r="K152"/>
    </row>
    <row r="153" spans="1:11" ht="21" customHeight="1">
      <c r="A153" t="s">
        <v>1413</v>
      </c>
      <c r="J153" s="284"/>
      <c r="K153"/>
    </row>
    <row r="154" spans="1:11" ht="14.25">
      <c r="J154" s="284"/>
      <c r="K154"/>
    </row>
    <row r="155" spans="1:11" ht="14.25">
      <c r="A155" s="127"/>
      <c r="B155" s="127"/>
      <c r="C155" s="127"/>
      <c r="D155" s="127"/>
      <c r="E155" s="127"/>
      <c r="F155" s="127"/>
      <c r="G155" s="127"/>
      <c r="H155" s="127"/>
      <c r="I155" s="127"/>
      <c r="J155" s="284"/>
      <c r="K155"/>
    </row>
    <row r="156" spans="1:11" s="220" customFormat="1" ht="16.5">
      <c r="A156" s="475" t="s">
        <v>1173</v>
      </c>
      <c r="B156" s="475"/>
      <c r="C156" s="475"/>
      <c r="D156" s="475"/>
      <c r="E156" s="476" t="s">
        <v>1174</v>
      </c>
      <c r="F156" s="476"/>
      <c r="G156" s="476"/>
      <c r="H156" s="476"/>
      <c r="I156" s="476"/>
      <c r="J156" s="252"/>
      <c r="K156" s="256"/>
    </row>
    <row r="157" spans="1:11" s="220" customFormat="1" ht="18.75">
      <c r="A157" s="475" t="s">
        <v>1175</v>
      </c>
      <c r="B157" s="475"/>
      <c r="C157" s="475"/>
      <c r="D157" s="475"/>
      <c r="E157" s="477" t="s">
        <v>1176</v>
      </c>
      <c r="F157" s="477"/>
      <c r="G157" s="477"/>
      <c r="H157" s="477"/>
      <c r="I157" s="477"/>
      <c r="J157" s="252"/>
      <c r="K157" s="256"/>
    </row>
    <row r="158" spans="1:11" s="220" customFormat="1" ht="16.5">
      <c r="A158" s="478" t="s">
        <v>1177</v>
      </c>
      <c r="B158" s="478"/>
      <c r="C158" s="478"/>
      <c r="D158" s="478"/>
      <c r="G158" s="221"/>
      <c r="J158" s="252"/>
      <c r="K158" s="256"/>
    </row>
    <row r="159" spans="1:11" s="220" customFormat="1" ht="18.75">
      <c r="A159" s="222"/>
      <c r="B159" s="222"/>
      <c r="F159" s="479" t="str">
        <f>"Quan Hóa , ngày "&amp;VLOOKUP($J$160,LMXAY,14,0)&amp;" tháng "&amp;VLOOKUP($J$160,LMXAY,15,0)&amp;" năm 2014"</f>
        <v>Quan Hóa , ngày 24 tháng 08 năm 2014</v>
      </c>
      <c r="G159" s="479"/>
      <c r="H159" s="479"/>
      <c r="I159" s="479"/>
      <c r="J159" s="253"/>
      <c r="K159" s="256"/>
    </row>
    <row r="160" spans="1:11" s="220" customFormat="1" ht="19.5">
      <c r="A160" s="472" t="str">
        <f>"BIÊN BẢN SỐ: "&amp;VLOOKUP($J$160,LMXAY,8,0)&amp;"/LMVX"</f>
        <v>BIÊN BẢN SỐ: 3/LMTH3PC/LMVX</v>
      </c>
      <c r="B160" s="472"/>
      <c r="C160" s="472"/>
      <c r="D160" s="472"/>
      <c r="E160" s="472"/>
      <c r="F160" s="472"/>
      <c r="G160" s="472"/>
      <c r="H160" s="472"/>
      <c r="I160" s="472"/>
      <c r="J160" s="253">
        <f>$E$3</f>
        <v>1</v>
      </c>
      <c r="K160" s="256"/>
    </row>
    <row r="161" spans="1:11" s="220" customFormat="1" ht="19.5">
      <c r="A161" s="472" t="s">
        <v>1363</v>
      </c>
      <c r="B161" s="472"/>
      <c r="C161" s="472"/>
      <c r="D161" s="472"/>
      <c r="E161" s="472"/>
      <c r="F161" s="472"/>
      <c r="G161" s="472"/>
      <c r="H161" s="472"/>
      <c r="I161" s="472"/>
      <c r="J161" s="252"/>
      <c r="K161" s="256"/>
    </row>
    <row r="162" spans="1:11" s="220" customFormat="1" ht="8.25" customHeight="1">
      <c r="A162" s="223"/>
      <c r="B162" s="223"/>
      <c r="J162" s="252"/>
      <c r="K162" s="256"/>
    </row>
    <row r="163" spans="1:11" s="220" customFormat="1" ht="21.75" customHeight="1">
      <c r="A163" s="224" t="s">
        <v>1179</v>
      </c>
      <c r="B163" s="224"/>
      <c r="D163" s="225"/>
      <c r="J163" s="252"/>
      <c r="K163" s="256"/>
    </row>
    <row r="164" spans="1:11" s="220" customFormat="1" ht="21.75" customHeight="1">
      <c r="A164" s="224" t="s">
        <v>1180</v>
      </c>
      <c r="B164" s="224"/>
      <c r="D164" s="225"/>
      <c r="J164" s="252"/>
      <c r="K164" s="256"/>
    </row>
    <row r="165" spans="1:11" s="220" customFormat="1" ht="21.75" customHeight="1">
      <c r="A165" s="224" t="s">
        <v>1181</v>
      </c>
      <c r="B165" s="224"/>
      <c r="J165" s="252"/>
      <c r="K165" s="256"/>
    </row>
    <row r="166" spans="1:11" s="220" customFormat="1" ht="21.75" customHeight="1">
      <c r="A166" s="224" t="s">
        <v>1182</v>
      </c>
      <c r="B166" s="224"/>
      <c r="J166" s="252"/>
      <c r="K166" s="256"/>
    </row>
    <row r="167" spans="1:11" s="220" customFormat="1" ht="8.25" customHeight="1">
      <c r="A167" s="224"/>
      <c r="B167" s="224"/>
      <c r="J167" s="252"/>
      <c r="K167" s="256"/>
    </row>
    <row r="168" spans="1:11" s="220" customFormat="1" ht="16.5">
      <c r="A168" s="224" t="s">
        <v>1364</v>
      </c>
      <c r="B168" s="224"/>
      <c r="J168" s="252"/>
      <c r="K168" s="256"/>
    </row>
    <row r="169" spans="1:11" s="220" customFormat="1" ht="32.25" customHeight="1">
      <c r="A169" s="473" t="str">
        <f>"- "&amp;VLOOKUP($J$160,LMXAY,4,0)&amp;", "&amp;VITRI&amp;", "&amp;DIEMTDC</f>
        <v>- Lấy mẫu vữa xi măng xây móng đá hộc, Nhà tiểu học 3 phòng, Điểm TĐC Pom Chốn</v>
      </c>
      <c r="B169" s="473"/>
      <c r="C169" s="473"/>
      <c r="D169" s="473"/>
      <c r="E169" s="473"/>
      <c r="F169" s="473"/>
      <c r="G169" s="473"/>
      <c r="H169" s="473"/>
      <c r="I169" s="473"/>
      <c r="J169" s="253"/>
      <c r="K169" s="256"/>
    </row>
    <row r="170" spans="1:11" s="220" customFormat="1" ht="20.25" customHeight="1">
      <c r="A170" s="224" t="s">
        <v>1185</v>
      </c>
      <c r="B170" s="224"/>
      <c r="J170" s="252"/>
      <c r="K170" s="256"/>
    </row>
    <row r="171" spans="1:11" s="220" customFormat="1" ht="20.25" customHeight="1">
      <c r="A171" s="226" t="s">
        <v>1186</v>
      </c>
      <c r="B171" s="226"/>
      <c r="J171" s="252"/>
      <c r="K171" s="256"/>
    </row>
    <row r="172" spans="1:11" s="220" customFormat="1" ht="18" customHeight="1">
      <c r="A172" s="239" t="s">
        <v>1359</v>
      </c>
      <c r="B172" s="335" t="str">
        <f>TPCDT</f>
        <v>..........................................</v>
      </c>
      <c r="F172" s="335" t="str">
        <f>"Chức vụ: "&amp;CVCDT</f>
        <v>Chức vụ: .................................</v>
      </c>
      <c r="J172" s="252"/>
      <c r="K172" s="256"/>
    </row>
    <row r="173" spans="1:11" s="220" customFormat="1" ht="18" customHeight="1">
      <c r="A173" s="225" t="s">
        <v>1187</v>
      </c>
      <c r="B173" s="225"/>
      <c r="F173" s="351" t="s">
        <v>1188</v>
      </c>
      <c r="J173" s="252"/>
      <c r="K173" s="256"/>
    </row>
    <row r="174" spans="1:11" s="220" customFormat="1" ht="18" customHeight="1">
      <c r="A174" s="226" t="s">
        <v>1189</v>
      </c>
      <c r="B174" s="226"/>
      <c r="J174" s="252"/>
      <c r="K174" s="256"/>
    </row>
    <row r="175" spans="1:11" s="220" customFormat="1" ht="21.75" customHeight="1">
      <c r="A175" s="370" t="s">
        <v>1360</v>
      </c>
      <c r="B175" s="369" t="s">
        <v>1757</v>
      </c>
      <c r="F175" s="369" t="s">
        <v>1903</v>
      </c>
      <c r="J175" s="283"/>
    </row>
    <row r="176" spans="1:11" s="220" customFormat="1" ht="21.75" customHeight="1">
      <c r="A176" s="370" t="s">
        <v>1360</v>
      </c>
      <c r="B176" s="369" t="s">
        <v>1902</v>
      </c>
      <c r="F176" s="369" t="s">
        <v>1903</v>
      </c>
      <c r="J176" s="283"/>
    </row>
    <row r="177" spans="1:11" s="220" customFormat="1" ht="18" customHeight="1">
      <c r="A177" s="226" t="s">
        <v>1190</v>
      </c>
      <c r="B177" s="226"/>
      <c r="J177" s="252"/>
      <c r="K177" s="256"/>
    </row>
    <row r="178" spans="1:11" s="220" customFormat="1" ht="18" customHeight="1">
      <c r="A178" s="239" t="s">
        <v>1359</v>
      </c>
      <c r="B178" s="225" t="str">
        <f>VLOOKUP($J$160,LMXAY,18,0)</f>
        <v>Lê Văn Thái</v>
      </c>
      <c r="F178" s="225" t="s">
        <v>1191</v>
      </c>
      <c r="J178" s="253"/>
      <c r="K178" s="256"/>
    </row>
    <row r="179" spans="1:11" s="220" customFormat="1" ht="18" customHeight="1">
      <c r="A179" s="225" t="s">
        <v>1187</v>
      </c>
      <c r="B179" s="225"/>
      <c r="F179" s="351" t="s">
        <v>1188</v>
      </c>
      <c r="J179" s="252"/>
      <c r="K179" s="256"/>
    </row>
    <row r="180" spans="1:11" s="220" customFormat="1" ht="18" customHeight="1">
      <c r="A180" s="226" t="s">
        <v>1755</v>
      </c>
      <c r="B180" s="226"/>
      <c r="J180" s="252"/>
      <c r="K180" s="256"/>
    </row>
    <row r="181" spans="1:11" s="220" customFormat="1" ht="18" customHeight="1">
      <c r="A181" s="239" t="s">
        <v>1359</v>
      </c>
      <c r="B181" s="335" t="str">
        <f>TPDVTN</f>
        <v>Giáp Văn Định</v>
      </c>
      <c r="F181" s="335" t="str">
        <f>"Chức vụ: "&amp;CVTNV</f>
        <v>Chức vụ: Thí nghiệm viên</v>
      </c>
      <c r="J181" s="253"/>
      <c r="K181" s="256"/>
    </row>
    <row r="182" spans="1:11" s="220" customFormat="1" ht="18" customHeight="1">
      <c r="A182" s="335" t="s">
        <v>1187</v>
      </c>
      <c r="B182" s="335"/>
      <c r="F182" s="351" t="s">
        <v>1188</v>
      </c>
      <c r="J182" s="252"/>
      <c r="K182" s="256"/>
    </row>
    <row r="183" spans="1:11" s="220" customFormat="1" ht="20.25" customHeight="1">
      <c r="A183" s="224" t="s">
        <v>1192</v>
      </c>
      <c r="B183" s="224"/>
      <c r="J183" s="252"/>
      <c r="K183" s="256"/>
    </row>
    <row r="184" spans="1:11" s="220" customFormat="1" ht="20.25" customHeight="1">
      <c r="A184" s="225" t="str">
        <f>"Bắt đầu: "&amp;VLOOKUP($J$160,LMXAY,12,0)&amp;", ngày "&amp;VLOOKUP($J$160,LMXAY,14,0)&amp;" tháng "&amp;VLOOKUP($J$160,LMXAY,15,0)&amp;" năm 2014"</f>
        <v>Bắt đầu: 09 giờ 00, ngày 24 tháng 08 năm 2014</v>
      </c>
      <c r="B184" s="225"/>
      <c r="J184" s="253"/>
      <c r="K184" s="256"/>
    </row>
    <row r="185" spans="1:11" s="220" customFormat="1" ht="20.25" customHeight="1">
      <c r="A185" s="225" t="str">
        <f>"Kết thúc: "&amp;VLOOKUP($J$160,LMXAY,13,0)&amp;", ngày "&amp;VLOOKUP($J$160,LMXAY,14,0)&amp;" tháng "&amp;VLOOKUP($J$160,LMXAY,15,0)&amp;" năm 2014"</f>
        <v>Kết thúc: 10 giờ 00, ngày 24 tháng 08 năm 2014</v>
      </c>
      <c r="B185" s="225"/>
      <c r="J185" s="253"/>
      <c r="K185" s="256"/>
    </row>
    <row r="186" spans="1:11" s="220" customFormat="1" ht="20.25" customHeight="1">
      <c r="A186" s="225" t="str">
        <f>A70</f>
        <v>Tại: Nhà tiểu học 3 phòng - Điểm TĐC Pom Chốn</v>
      </c>
      <c r="B186" s="225"/>
      <c r="J186" s="253"/>
      <c r="K186" s="256"/>
    </row>
    <row r="187" spans="1:11" s="220" customFormat="1" ht="20.25" customHeight="1">
      <c r="A187" s="224" t="s">
        <v>1193</v>
      </c>
      <c r="B187" s="224"/>
      <c r="J187" s="252"/>
      <c r="K187" s="256"/>
    </row>
    <row r="188" spans="1:11" s="220" customFormat="1" ht="20.25" customHeight="1">
      <c r="A188" s="474" t="str">
        <f>"- Phiếu yêu cầu nghiệm thu của nhà thầu thi công số : "&amp;VLOOKUP($J$160,LMXAY,7,0)&amp;"/PYC"</f>
        <v>- Phiếu yêu cầu nghiệm thu của nhà thầu thi công số : 3/LMTH3PC/PYC</v>
      </c>
      <c r="B188" s="474"/>
      <c r="C188" s="474"/>
      <c r="D188" s="474"/>
      <c r="E188" s="474"/>
      <c r="F188" s="474"/>
      <c r="G188" s="474"/>
      <c r="H188" s="474"/>
      <c r="I188" s="474"/>
      <c r="J188" s="253"/>
      <c r="K188" s="256"/>
    </row>
    <row r="189" spans="1:11" s="220" customFormat="1" ht="33" customHeight="1">
      <c r="A189" s="473" t="s">
        <v>1184</v>
      </c>
      <c r="B189" s="473"/>
      <c r="C189" s="473"/>
      <c r="D189" s="473"/>
      <c r="E189" s="473"/>
      <c r="F189" s="473"/>
      <c r="G189" s="473"/>
      <c r="H189" s="473"/>
      <c r="I189" s="473"/>
      <c r="J189" s="252"/>
      <c r="K189" s="256"/>
    </row>
    <row r="190" spans="1:11" s="220" customFormat="1" ht="16.5">
      <c r="A190" s="474" t="s">
        <v>1194</v>
      </c>
      <c r="B190" s="474"/>
      <c r="C190" s="474"/>
      <c r="D190" s="474"/>
      <c r="E190" s="474"/>
      <c r="F190" s="474"/>
      <c r="G190" s="474"/>
      <c r="H190" s="474"/>
      <c r="I190" s="474"/>
      <c r="J190" s="252"/>
      <c r="K190" s="256"/>
    </row>
    <row r="191" spans="1:11" ht="16.5">
      <c r="A191" s="225" t="s">
        <v>1365</v>
      </c>
    </row>
    <row r="192" spans="1:11" ht="16.5">
      <c r="A192" s="225" t="s">
        <v>1366</v>
      </c>
    </row>
    <row r="193" spans="1:10" ht="33" customHeight="1">
      <c r="A193" s="473" t="s">
        <v>1195</v>
      </c>
      <c r="B193" s="473"/>
      <c r="C193" s="473"/>
      <c r="D193" s="473"/>
      <c r="E193" s="473"/>
      <c r="F193" s="473"/>
      <c r="G193" s="473"/>
      <c r="H193" s="473"/>
      <c r="I193" s="473"/>
    </row>
    <row r="194" spans="1:10" ht="19.5" customHeight="1">
      <c r="A194" s="225" t="s">
        <v>1196</v>
      </c>
    </row>
    <row r="196" spans="1:10" ht="16.5">
      <c r="A196" s="224" t="s">
        <v>1328</v>
      </c>
      <c r="B196" s="220"/>
      <c r="C196" s="220"/>
    </row>
    <row r="197" spans="1:10" ht="16.5">
      <c r="A197" s="225" t="s">
        <v>1367</v>
      </c>
      <c r="B197" s="220"/>
      <c r="C197" s="220"/>
    </row>
    <row r="198" spans="1:10" ht="16.5">
      <c r="A198" s="225" t="s">
        <v>1330</v>
      </c>
      <c r="B198" s="220"/>
      <c r="C198" s="220"/>
    </row>
    <row r="199" spans="1:10" ht="33" customHeight="1">
      <c r="A199" s="473" t="str">
        <f>"- Bộ phận cấu kiện lấy mẫu : "&amp;VLOOKUP($J$160,LMXAY,4,0)</f>
        <v>- Bộ phận cấu kiện lấy mẫu : Lấy mẫu vữa xi măng xây móng đá hộc</v>
      </c>
      <c r="B199" s="473"/>
      <c r="C199" s="473"/>
      <c r="D199" s="473"/>
      <c r="E199" s="473"/>
      <c r="F199" s="473"/>
      <c r="G199" s="473"/>
      <c r="H199" s="473"/>
      <c r="I199" s="473"/>
    </row>
    <row r="200" spans="1:10" ht="16.5">
      <c r="A200" s="225" t="str">
        <f>"- Vị trí lấy mẫu : "&amp;VITRI&amp;" - "&amp;DIEMTDC</f>
        <v>- Vị trí lấy mẫu : Nhà tiểu học 3 phòng - Điểm TĐC Pom Chốn</v>
      </c>
      <c r="B200" s="225"/>
      <c r="C200" s="225"/>
      <c r="J200" s="253"/>
    </row>
    <row r="201" spans="1:10" ht="16.5">
      <c r="A201" s="225" t="str">
        <f>"- Ký hiệu mẫu : "&amp;VLOOKUP($J$160,LMXAY,23,0)&amp;"/"&amp;VLOOKUP($J$160,LMXAY,26,0)&amp;"/"&amp;VLOOKUP($J$160,LMXAY,27,0)&amp;"; "&amp;VLOOKUP($J$160,LMXAY,24,0)&amp;"/"&amp;VLOOKUP($J$160,LMXAY,26,0)&amp;"/"&amp;VLOOKUP($J$160,LMXAY,27,0)&amp;"; "&amp;VLOOKUP($J$160,LMXAY,25,0)&amp;"/"&amp;VLOOKUP($J$160,LMXAY,26,0)&amp;"/"&amp;VLOOKUP($J$160,LMXAY,27,0)</f>
        <v>- Ký hiệu mẫu : 1/TH3PC/M75; 2/TH3PC/M75; 3/TH3PC/M75</v>
      </c>
      <c r="B201" s="220"/>
      <c r="C201" s="220"/>
      <c r="J201" s="253"/>
    </row>
    <row r="202" spans="1:10" ht="16.5">
      <c r="A202" s="225" t="s">
        <v>1331</v>
      </c>
      <c r="B202" s="225"/>
      <c r="C202" s="250" t="s">
        <v>1373</v>
      </c>
    </row>
    <row r="203" spans="1:10" ht="16.5">
      <c r="A203" s="225" t="s">
        <v>1333</v>
      </c>
      <c r="B203" s="225"/>
      <c r="C203" s="250" t="s">
        <v>1334</v>
      </c>
    </row>
    <row r="204" spans="1:10" ht="16.5">
      <c r="A204" s="225" t="s">
        <v>1335</v>
      </c>
      <c r="B204" s="225"/>
      <c r="C204" s="250" t="str">
        <f>VLOOKUP($J$160,LMXAY,27,0)&amp;"#"</f>
        <v>M75#</v>
      </c>
      <c r="J204" s="253"/>
    </row>
    <row r="205" spans="1:10" ht="16.5">
      <c r="A205" s="225" t="s">
        <v>1336</v>
      </c>
      <c r="B205" s="220"/>
      <c r="C205" s="220"/>
    </row>
    <row r="206" spans="1:10" ht="16.5">
      <c r="A206" s="239" t="s">
        <v>1368</v>
      </c>
      <c r="B206" s="225"/>
      <c r="C206" s="220"/>
    </row>
    <row r="207" spans="1:10" ht="16.5">
      <c r="A207" s="225" t="s">
        <v>1338</v>
      </c>
      <c r="B207" s="220"/>
      <c r="C207" s="220"/>
    </row>
    <row r="209" spans="1:11" s="263" customFormat="1" ht="14.25">
      <c r="A209" s="504" t="s">
        <v>1339</v>
      </c>
      <c r="B209" s="504"/>
      <c r="C209" s="504"/>
      <c r="D209" s="505" t="s">
        <v>872</v>
      </c>
      <c r="E209" s="505"/>
      <c r="F209" s="504" t="s">
        <v>1340</v>
      </c>
      <c r="G209" s="505"/>
      <c r="H209" s="504" t="s">
        <v>1341</v>
      </c>
      <c r="I209" s="505"/>
      <c r="J209" s="258"/>
      <c r="K209" s="258"/>
    </row>
    <row r="210" spans="1:11" s="263" customFormat="1" ht="14.25">
      <c r="A210" s="504"/>
      <c r="B210" s="504"/>
      <c r="C210" s="504"/>
      <c r="D210" s="505"/>
      <c r="E210" s="505"/>
      <c r="F210" s="505"/>
      <c r="G210" s="505"/>
      <c r="H210" s="505"/>
      <c r="I210" s="505"/>
      <c r="J210" s="258"/>
      <c r="K210" s="258"/>
    </row>
    <row r="211" spans="1:11" s="270" customFormat="1" hidden="1">
      <c r="J211" s="252"/>
      <c r="K211" s="255"/>
    </row>
    <row r="212" spans="1:11" s="270" customFormat="1">
      <c r="J212" s="252"/>
      <c r="K212" s="255"/>
    </row>
    <row r="213" spans="1:11" s="270" customFormat="1">
      <c r="J213" s="252"/>
      <c r="K213" s="255"/>
    </row>
    <row r="214" spans="1:11" s="270" customFormat="1">
      <c r="J214" s="252"/>
      <c r="K214" s="255"/>
    </row>
    <row r="215" spans="1:11" s="270" customFormat="1">
      <c r="J215" s="252"/>
      <c r="K215" s="255"/>
    </row>
    <row r="216" spans="1:11" s="269" customFormat="1">
      <c r="A216" s="505" t="str">
        <f>TPCDT</f>
        <v>..........................................</v>
      </c>
      <c r="B216" s="505"/>
      <c r="C216" s="505"/>
      <c r="D216" s="505" t="str">
        <f>TPTVGS</f>
        <v>..........................................</v>
      </c>
      <c r="E216" s="505"/>
      <c r="F216" s="505" t="str">
        <f>TPDVTC</f>
        <v>Lê Văn Thái</v>
      </c>
      <c r="G216" s="505"/>
      <c r="H216" s="505" t="str">
        <f>TPDVTN</f>
        <v>Giáp Văn Định</v>
      </c>
      <c r="I216" s="505"/>
      <c r="J216" s="252"/>
      <c r="K216" s="256"/>
    </row>
    <row r="241" spans="1:11">
      <c r="A241" s="127"/>
      <c r="B241" s="127"/>
      <c r="C241" s="127"/>
      <c r="D241" s="127"/>
      <c r="E241" s="127"/>
      <c r="F241" s="127"/>
      <c r="G241" s="127"/>
      <c r="H241" s="127"/>
      <c r="I241" s="127"/>
    </row>
    <row r="242" spans="1:11" ht="16.5">
      <c r="A242" s="476" t="s">
        <v>1396</v>
      </c>
      <c r="B242" s="476"/>
      <c r="C242" s="476"/>
      <c r="D242" s="248"/>
      <c r="E242" s="476" t="s">
        <v>1174</v>
      </c>
      <c r="F242" s="476"/>
      <c r="G242" s="476"/>
      <c r="H242" s="476"/>
      <c r="I242" s="476"/>
      <c r="J242" s="284"/>
      <c r="K242"/>
    </row>
    <row r="243" spans="1:11" ht="18.75">
      <c r="A243" s="476" t="s">
        <v>1397</v>
      </c>
      <c r="B243" s="476"/>
      <c r="C243" s="476"/>
      <c r="D243" s="248"/>
      <c r="E243" s="477" t="s">
        <v>1176</v>
      </c>
      <c r="F243" s="477"/>
      <c r="G243" s="477"/>
      <c r="H243" s="477"/>
      <c r="I243" s="477"/>
      <c r="J243" s="284"/>
      <c r="K243"/>
    </row>
    <row r="244" spans="1:11" ht="16.5">
      <c r="A244" s="478" t="s">
        <v>1398</v>
      </c>
      <c r="B244" s="478"/>
      <c r="C244" s="478"/>
      <c r="J244" s="284"/>
      <c r="K244"/>
    </row>
    <row r="245" spans="1:11" ht="16.5">
      <c r="A245" s="280"/>
      <c r="B245" s="266"/>
      <c r="E245" s="492" t="str">
        <f>"Quan Hóa , ngày "&amp;VLOOKUP($J$284,NTXAY,9,0)&amp;" tháng "&amp;VLOOKUP($J$284,NTXAY,10,0)&amp;" năm 2014"</f>
        <v>Quan Hóa , ngày 25 tháng 08 năm 2014</v>
      </c>
      <c r="F245" s="492"/>
      <c r="G245" s="492"/>
      <c r="H245" s="492"/>
      <c r="I245" s="492"/>
      <c r="J245" s="284"/>
      <c r="K245"/>
    </row>
    <row r="246" spans="1:11" ht="6.75" customHeight="1">
      <c r="A246" s="280"/>
      <c r="J246" s="284"/>
      <c r="K246"/>
    </row>
    <row r="247" spans="1:11" ht="18.75">
      <c r="A247" s="470" t="str">
        <f>"PHIẾU YÊU CẦU SỐ: "&amp;VLOOKUP($J$284,NTXAY,7,0)&amp;"/PYC"</f>
        <v>PHIẾU YÊU CẦU SỐ: 3/XAYTH3PC/PYC</v>
      </c>
      <c r="B247" s="470"/>
      <c r="C247" s="470"/>
      <c r="D247" s="470"/>
      <c r="E247" s="470"/>
      <c r="F247" s="470"/>
      <c r="G247" s="470"/>
      <c r="H247" s="470"/>
      <c r="I247" s="470"/>
      <c r="J247" s="284"/>
      <c r="K247"/>
    </row>
    <row r="248" spans="1:11" ht="33" customHeight="1">
      <c r="A248" s="506" t="str">
        <f>"("&amp;VLOOKUP($J$284,NTXAY,4,0)&amp;")"</f>
        <v>(Xây móng nhà bằng đá hộc, vữa xi măng mác 75#)</v>
      </c>
      <c r="B248" s="506"/>
      <c r="C248" s="506"/>
      <c r="D248" s="506"/>
      <c r="E248" s="506"/>
      <c r="F248" s="506"/>
      <c r="G248" s="506"/>
      <c r="H248" s="506"/>
      <c r="I248" s="506"/>
      <c r="J248" s="284"/>
      <c r="K248"/>
    </row>
    <row r="249" spans="1:11" ht="7.5" customHeight="1">
      <c r="A249" s="226"/>
      <c r="B249" s="220"/>
      <c r="J249" s="284"/>
      <c r="K249"/>
    </row>
    <row r="250" spans="1:11" ht="16.5">
      <c r="A250" s="224" t="s">
        <v>1179</v>
      </c>
      <c r="B250" s="266"/>
      <c r="J250" s="284"/>
      <c r="K250"/>
    </row>
    <row r="251" spans="1:11" ht="16.5">
      <c r="A251" s="224" t="s">
        <v>1412</v>
      </c>
      <c r="B251" s="266"/>
      <c r="J251" s="284"/>
      <c r="K251"/>
    </row>
    <row r="252" spans="1:11" ht="16.5">
      <c r="A252" s="224" t="s">
        <v>1399</v>
      </c>
      <c r="B252" s="220"/>
      <c r="J252" s="284"/>
      <c r="K252"/>
    </row>
    <row r="253" spans="1:11" ht="16.5">
      <c r="A253" s="224" t="s">
        <v>1400</v>
      </c>
      <c r="B253" s="220"/>
      <c r="J253" s="284"/>
      <c r="K253"/>
    </row>
    <row r="254" spans="1:11" ht="8.25" customHeight="1">
      <c r="A254" s="266"/>
      <c r="B254" s="220"/>
      <c r="J254" s="284"/>
      <c r="K254"/>
    </row>
    <row r="255" spans="1:11" ht="16.5">
      <c r="A255" s="224" t="s">
        <v>1401</v>
      </c>
      <c r="B255" s="220"/>
      <c r="C255" s="266" t="s">
        <v>1402</v>
      </c>
      <c r="J255" s="284"/>
      <c r="K255"/>
    </row>
    <row r="256" spans="1:11" ht="16.5">
      <c r="A256" s="220"/>
      <c r="B256" s="220"/>
      <c r="C256" s="266" t="s">
        <v>1403</v>
      </c>
      <c r="J256" s="284"/>
      <c r="K256"/>
    </row>
    <row r="257" spans="1:11" ht="6.75" customHeight="1">
      <c r="A257" s="277"/>
      <c r="B257" s="220"/>
      <c r="J257" s="284"/>
      <c r="K257"/>
    </row>
    <row r="258" spans="1:11" ht="49.5" customHeight="1">
      <c r="A258" s="473" t="s">
        <v>1420</v>
      </c>
      <c r="B258" s="473"/>
      <c r="C258" s="473"/>
      <c r="D258" s="473"/>
      <c r="E258" s="473"/>
      <c r="F258" s="473"/>
      <c r="G258" s="473"/>
      <c r="H258" s="473"/>
      <c r="I258" s="473"/>
      <c r="J258" s="284"/>
      <c r="K258" s="282"/>
    </row>
    <row r="259" spans="1:11" ht="16.5">
      <c r="A259" s="473" t="s">
        <v>1414</v>
      </c>
      <c r="B259" s="473"/>
      <c r="C259" s="473"/>
      <c r="D259" s="473"/>
      <c r="E259" s="473"/>
      <c r="F259" s="473"/>
      <c r="G259" s="473"/>
      <c r="H259" s="473"/>
      <c r="I259" s="473"/>
      <c r="J259" s="284"/>
      <c r="K259" s="282"/>
    </row>
    <row r="260" spans="1:11" ht="35.25" customHeight="1">
      <c r="A260" s="485" t="str">
        <f>"    "&amp;VLOOKUP($J$284,NTXAY,4,0)&amp;", "&amp;VITRI&amp;", "&amp;DIEMTDC</f>
        <v xml:space="preserve">    Xây móng nhà bằng đá hộc, vữa xi măng mác 75#, Nhà tiểu học 3 phòng, Điểm TĐC Pom Chốn</v>
      </c>
      <c r="B260" s="485"/>
      <c r="C260" s="485"/>
      <c r="D260" s="485"/>
      <c r="E260" s="485"/>
      <c r="F260" s="485"/>
      <c r="G260" s="485"/>
      <c r="H260" s="485"/>
      <c r="I260" s="485"/>
      <c r="J260" s="284"/>
      <c r="K260"/>
    </row>
    <row r="261" spans="1:11" ht="18.75" customHeight="1">
      <c r="A261" s="266" t="s">
        <v>1415</v>
      </c>
      <c r="B261" s="220"/>
      <c r="J261" s="284"/>
      <c r="K261"/>
    </row>
    <row r="262" spans="1:11" ht="18.75" customHeight="1">
      <c r="A262" s="266" t="str">
        <f>"     Thời gian: "&amp;VLOOKUP($J$160,LMXAY,12,0)&amp;", ngày "&amp;VLOOKUP($J$160,LMXAY,14,0)&amp;" tháng "&amp;VLOOKUP($J$160,LMXAY,15,0)&amp;" năm 2014"</f>
        <v xml:space="preserve">     Thời gian: 09 giờ 00, ngày 24 tháng 08 năm 2014</v>
      </c>
      <c r="B262" s="220"/>
      <c r="J262" s="284"/>
      <c r="K262"/>
    </row>
    <row r="263" spans="1:11" ht="18.75" customHeight="1">
      <c r="A263" s="266" t="str">
        <f>"     Tại lô nhà "&amp;VITRI&amp;", "&amp;DIEMTDC</f>
        <v xml:space="preserve">     Tại lô nhà Nhà tiểu học 3 phòng, Điểm TĐC Pom Chốn</v>
      </c>
      <c r="B263" s="220"/>
      <c r="J263" s="284"/>
      <c r="K263"/>
    </row>
    <row r="264" spans="1:11" ht="16.5">
      <c r="A264" s="221" t="s">
        <v>1404</v>
      </c>
      <c r="B264" s="220"/>
      <c r="J264" s="284"/>
      <c r="K264"/>
    </row>
    <row r="265" spans="1:11" ht="16.5">
      <c r="A265" s="266"/>
      <c r="B265" s="220"/>
      <c r="J265" s="284"/>
      <c r="K265"/>
    </row>
    <row r="266" spans="1:11" ht="16.5">
      <c r="A266" s="278" t="s">
        <v>1405</v>
      </c>
      <c r="E266" s="478" t="s">
        <v>1408</v>
      </c>
      <c r="F266" s="478"/>
      <c r="G266" s="478"/>
      <c r="H266" s="478"/>
      <c r="J266" s="284"/>
      <c r="K266"/>
    </row>
    <row r="267" spans="1:11" ht="16.5">
      <c r="A267" s="279" t="s">
        <v>1406</v>
      </c>
      <c r="E267" s="478" t="s">
        <v>1409</v>
      </c>
      <c r="F267" s="478"/>
      <c r="G267" s="478"/>
      <c r="H267" s="478"/>
      <c r="J267" s="284"/>
      <c r="K267"/>
    </row>
    <row r="268" spans="1:11" ht="16.5">
      <c r="A268" s="279" t="s">
        <v>1407</v>
      </c>
      <c r="B268" s="224"/>
      <c r="J268" s="284"/>
      <c r="K268"/>
    </row>
    <row r="269" spans="1:11" ht="16.5">
      <c r="A269" s="232"/>
      <c r="B269" s="224"/>
      <c r="J269" s="284"/>
      <c r="K269"/>
    </row>
    <row r="270" spans="1:11" ht="16.5">
      <c r="A270" s="232"/>
      <c r="B270" s="224"/>
      <c r="J270" s="284"/>
      <c r="K270"/>
    </row>
    <row r="271" spans="1:11" ht="16.5">
      <c r="A271" s="232"/>
      <c r="B271" s="224"/>
      <c r="J271" s="284"/>
      <c r="K271"/>
    </row>
    <row r="272" spans="1:11" ht="14.25" customHeight="1">
      <c r="A272" s="232"/>
      <c r="E272" s="478" t="s">
        <v>1410</v>
      </c>
      <c r="F272" s="478"/>
      <c r="G272" s="478"/>
      <c r="H272" s="478"/>
      <c r="J272" s="284"/>
      <c r="K272"/>
    </row>
    <row r="273" spans="1:11" ht="16.5">
      <c r="A273" s="232"/>
      <c r="B273" s="224"/>
      <c r="J273" s="284"/>
      <c r="K273"/>
    </row>
    <row r="274" spans="1:11" ht="16.5">
      <c r="A274" s="224" t="s">
        <v>1411</v>
      </c>
      <c r="B274" s="220"/>
      <c r="J274" s="284"/>
      <c r="K274"/>
    </row>
    <row r="275" spans="1:11" ht="21" customHeight="1">
      <c r="A275" t="s">
        <v>1413</v>
      </c>
      <c r="J275" s="284"/>
      <c r="K275"/>
    </row>
    <row r="276" spans="1:11" ht="21" customHeight="1">
      <c r="A276" t="s">
        <v>1413</v>
      </c>
      <c r="J276" s="284"/>
      <c r="K276"/>
    </row>
    <row r="277" spans="1:11" ht="21" customHeight="1">
      <c r="A277" t="s">
        <v>1413</v>
      </c>
      <c r="J277" s="284"/>
      <c r="K277"/>
    </row>
    <row r="278" spans="1:11" ht="14.25">
      <c r="J278" s="284"/>
      <c r="K278"/>
    </row>
    <row r="279" spans="1:11" ht="14.25">
      <c r="A279" s="127"/>
      <c r="B279" s="127"/>
      <c r="C279" s="127"/>
      <c r="D279" s="127"/>
      <c r="E279" s="127"/>
      <c r="F279" s="127"/>
      <c r="G279" s="127"/>
      <c r="H279" s="127"/>
      <c r="I279" s="127"/>
      <c r="J279" s="284"/>
      <c r="K279"/>
    </row>
    <row r="280" spans="1:11" s="220" customFormat="1" ht="16.5">
      <c r="A280" s="475" t="s">
        <v>1173</v>
      </c>
      <c r="B280" s="475"/>
      <c r="C280" s="475"/>
      <c r="D280" s="475"/>
      <c r="E280" s="476" t="s">
        <v>1174</v>
      </c>
      <c r="F280" s="476"/>
      <c r="G280" s="476"/>
      <c r="H280" s="476"/>
      <c r="I280" s="476"/>
      <c r="J280" s="252"/>
      <c r="K280" s="256"/>
    </row>
    <row r="281" spans="1:11" s="220" customFormat="1" ht="18.75">
      <c r="A281" s="482" t="s">
        <v>1175</v>
      </c>
      <c r="B281" s="482"/>
      <c r="C281" s="482"/>
      <c r="D281" s="482"/>
      <c r="E281" s="470" t="s">
        <v>1176</v>
      </c>
      <c r="F281" s="470"/>
      <c r="G281" s="470"/>
      <c r="H281" s="470"/>
      <c r="I281" s="470"/>
      <c r="J281" s="252"/>
      <c r="K281" s="256"/>
    </row>
    <row r="282" spans="1:11" s="220" customFormat="1" ht="16.5">
      <c r="A282" s="478" t="s">
        <v>1177</v>
      </c>
      <c r="B282" s="478"/>
      <c r="C282" s="478"/>
      <c r="D282" s="478"/>
      <c r="G282" s="221"/>
      <c r="J282" s="252"/>
      <c r="K282" s="256"/>
    </row>
    <row r="283" spans="1:11" s="220" customFormat="1" ht="18.75">
      <c r="A283" s="222"/>
      <c r="B283" s="222"/>
      <c r="F283" s="479" t="str">
        <f>"Quan Hóa , ngày "&amp;VLOOKUP($J$284,NTXAY,14,0)&amp;" tháng "&amp;VLOOKUP($J$284,NTXAY,15,0)&amp;" năm 2014"</f>
        <v>Quan Hóa , ngày 26 tháng 08 năm 2014</v>
      </c>
      <c r="G283" s="479"/>
      <c r="H283" s="479"/>
      <c r="I283" s="479"/>
      <c r="J283" s="253"/>
      <c r="K283" s="256"/>
    </row>
    <row r="284" spans="1:11" s="220" customFormat="1" ht="19.5">
      <c r="A284" s="472" t="str">
        <f>"BIÊN BẢN SỐ: "&amp;VLOOKUP($J$284,NTXAY,8,0)&amp;"/NTCV"</f>
        <v>BIÊN BẢN SỐ: 3/XAYTH3PC/NTCV</v>
      </c>
      <c r="B284" s="472"/>
      <c r="C284" s="472"/>
      <c r="D284" s="472"/>
      <c r="E284" s="472"/>
      <c r="F284" s="472"/>
      <c r="G284" s="472"/>
      <c r="H284" s="472"/>
      <c r="I284" s="472"/>
      <c r="J284" s="253">
        <f>$F$3</f>
        <v>1</v>
      </c>
      <c r="K284" s="256"/>
    </row>
    <row r="285" spans="1:11" s="220" customFormat="1" ht="19.5">
      <c r="A285" s="472" t="s">
        <v>1374</v>
      </c>
      <c r="B285" s="472"/>
      <c r="C285" s="472"/>
      <c r="D285" s="472"/>
      <c r="E285" s="472"/>
      <c r="F285" s="472"/>
      <c r="G285" s="472"/>
      <c r="H285" s="472"/>
      <c r="I285" s="472"/>
      <c r="J285" s="252"/>
      <c r="K285" s="256"/>
    </row>
    <row r="286" spans="1:11" s="220" customFormat="1" ht="8.25" customHeight="1">
      <c r="A286" s="223"/>
      <c r="B286" s="223"/>
      <c r="J286" s="252"/>
      <c r="K286" s="256"/>
    </row>
    <row r="287" spans="1:11" s="220" customFormat="1" ht="21.75" customHeight="1">
      <c r="A287" s="224" t="s">
        <v>1179</v>
      </c>
      <c r="B287" s="224"/>
      <c r="D287" s="225"/>
      <c r="J287" s="252"/>
      <c r="K287" s="256"/>
    </row>
    <row r="288" spans="1:11" s="220" customFormat="1" ht="21.75" customHeight="1">
      <c r="A288" s="224" t="s">
        <v>1180</v>
      </c>
      <c r="B288" s="224"/>
      <c r="D288" s="225"/>
      <c r="J288" s="252"/>
      <c r="K288" s="256"/>
    </row>
    <row r="289" spans="1:11" s="220" customFormat="1" ht="21.75" customHeight="1">
      <c r="A289" s="224" t="s">
        <v>1181</v>
      </c>
      <c r="B289" s="224"/>
      <c r="J289" s="252"/>
      <c r="K289" s="256"/>
    </row>
    <row r="290" spans="1:11" s="220" customFormat="1" ht="21.75" customHeight="1">
      <c r="A290" s="224" t="s">
        <v>1182</v>
      </c>
      <c r="B290" s="224"/>
      <c r="J290" s="252"/>
      <c r="K290" s="256"/>
    </row>
    <row r="291" spans="1:11" s="220" customFormat="1" ht="8.25" customHeight="1">
      <c r="A291" s="224"/>
      <c r="B291" s="224"/>
      <c r="J291" s="252"/>
      <c r="K291" s="256"/>
    </row>
    <row r="292" spans="1:11" s="220" customFormat="1" ht="16.5">
      <c r="A292" s="224" t="s">
        <v>1183</v>
      </c>
      <c r="B292" s="224"/>
      <c r="J292" s="252"/>
      <c r="K292" s="256"/>
    </row>
    <row r="293" spans="1:11" s="220" customFormat="1" ht="32.25" customHeight="1">
      <c r="A293" s="473" t="str">
        <f>"- "&amp;VLOOKUP($J$284,NTXAY,4,0)&amp;", "&amp;VITRI&amp;", "&amp;DIEMTDC</f>
        <v>- Xây móng nhà bằng đá hộc, vữa xi măng mác 75#, Nhà tiểu học 3 phòng, Điểm TĐC Pom Chốn</v>
      </c>
      <c r="B293" s="473"/>
      <c r="C293" s="473"/>
      <c r="D293" s="473"/>
      <c r="E293" s="473"/>
      <c r="F293" s="473"/>
      <c r="G293" s="473"/>
      <c r="H293" s="473"/>
      <c r="I293" s="473"/>
      <c r="J293" s="253"/>
      <c r="K293" s="256"/>
    </row>
    <row r="294" spans="1:11" s="220" customFormat="1" ht="20.25" customHeight="1">
      <c r="A294" s="224" t="s">
        <v>1185</v>
      </c>
      <c r="B294" s="224"/>
      <c r="J294" s="252"/>
      <c r="K294" s="256"/>
    </row>
    <row r="295" spans="1:11" s="220" customFormat="1" ht="23.25" customHeight="1">
      <c r="A295" s="226" t="s">
        <v>1186</v>
      </c>
      <c r="B295" s="226"/>
      <c r="J295" s="252"/>
      <c r="K295" s="256"/>
    </row>
    <row r="296" spans="1:11" s="220" customFormat="1" ht="22.5" customHeight="1">
      <c r="A296" s="239" t="s">
        <v>1359</v>
      </c>
      <c r="B296" s="335" t="str">
        <f>TPCDT</f>
        <v>..........................................</v>
      </c>
      <c r="F296" s="335" t="str">
        <f>"Chức vụ: "&amp;CVCDT</f>
        <v>Chức vụ: .................................</v>
      </c>
      <c r="J296" s="252"/>
      <c r="K296" s="256"/>
    </row>
    <row r="297" spans="1:11" s="220" customFormat="1" ht="22.5" customHeight="1">
      <c r="A297" s="225" t="s">
        <v>1187</v>
      </c>
      <c r="B297" s="225"/>
      <c r="F297" s="351" t="s">
        <v>1188</v>
      </c>
      <c r="J297" s="252"/>
      <c r="K297" s="256"/>
    </row>
    <row r="298" spans="1:11" s="220" customFormat="1" ht="22.5" customHeight="1">
      <c r="A298" s="226" t="s">
        <v>1189</v>
      </c>
      <c r="B298" s="226"/>
      <c r="J298" s="252"/>
      <c r="K298" s="256"/>
    </row>
    <row r="299" spans="1:11" s="220" customFormat="1" ht="21.75" customHeight="1">
      <c r="A299" s="239" t="s">
        <v>1359</v>
      </c>
      <c r="B299" s="335" t="str">
        <f>TPTVGS</f>
        <v>..........................................</v>
      </c>
      <c r="F299" s="335" t="str">
        <f>"Chức vụ: "&amp;CVGS</f>
        <v>Chức vụ: .................................</v>
      </c>
      <c r="J299" s="253"/>
      <c r="K299" s="256"/>
    </row>
    <row r="300" spans="1:11" s="220" customFormat="1" ht="22.5" customHeight="1">
      <c r="A300" s="225" t="s">
        <v>1187</v>
      </c>
      <c r="B300" s="225"/>
      <c r="F300" s="351" t="s">
        <v>1188</v>
      </c>
      <c r="J300" s="252"/>
      <c r="K300" s="256"/>
    </row>
    <row r="301" spans="1:11" s="220" customFormat="1" ht="22.5" customHeight="1">
      <c r="A301" s="226" t="s">
        <v>1190</v>
      </c>
      <c r="B301" s="226"/>
      <c r="J301" s="252"/>
      <c r="K301" s="256"/>
    </row>
    <row r="302" spans="1:11" s="220" customFormat="1" ht="22.5" customHeight="1">
      <c r="A302" s="239" t="s">
        <v>1359</v>
      </c>
      <c r="B302" s="225" t="str">
        <f>VLOOKUP($J$284,NTXAY,18,0)</f>
        <v>Lê Văn Thái</v>
      </c>
      <c r="F302" s="225" t="s">
        <v>1191</v>
      </c>
      <c r="J302" s="253"/>
      <c r="K302" s="256"/>
    </row>
    <row r="303" spans="1:11" s="220" customFormat="1" ht="22.5" customHeight="1">
      <c r="A303" s="225" t="s">
        <v>1187</v>
      </c>
      <c r="B303" s="225"/>
      <c r="F303" s="351" t="s">
        <v>1188</v>
      </c>
      <c r="J303" s="252"/>
      <c r="K303" s="256"/>
    </row>
    <row r="304" spans="1:11" s="220" customFormat="1" ht="9" customHeight="1">
      <c r="A304" s="225"/>
      <c r="B304" s="225"/>
      <c r="F304" s="225"/>
      <c r="J304" s="252"/>
      <c r="K304" s="256"/>
    </row>
    <row r="305" spans="1:11" s="220" customFormat="1" ht="20.25" customHeight="1">
      <c r="A305" s="224" t="s">
        <v>1192</v>
      </c>
      <c r="B305" s="224"/>
      <c r="J305" s="252"/>
      <c r="K305" s="256"/>
    </row>
    <row r="306" spans="1:11" s="220" customFormat="1" ht="23.25" customHeight="1">
      <c r="A306" s="225" t="str">
        <f>"Bắt đầu: "&amp;VLOOKUP($J$284,NTXAY,12,0)&amp;", ngày "&amp;VLOOKUP($J$284,NTXAY,14,0)&amp;" tháng "&amp;VLOOKUP($J$284,NTXAY,15,0)&amp;" năm 2014"</f>
        <v>Bắt đầu: 16 giờ 00, ngày 26 tháng 08 năm 2014</v>
      </c>
      <c r="B306" s="225"/>
      <c r="J306" s="253"/>
      <c r="K306" s="256"/>
    </row>
    <row r="307" spans="1:11" s="220" customFormat="1" ht="23.25" customHeight="1">
      <c r="A307" s="225" t="str">
        <f>"Kết thúc: "&amp;VLOOKUP($J$284,NTXAY,13,0)&amp;", ngày "&amp;VLOOKUP($J$284,NTXAY,14,0)&amp;" tháng "&amp;VLOOKUP($J$284,NTXAY,15,0)&amp;" năm 2014"</f>
        <v>Kết thúc: 17 giờ 00, ngày 26 tháng 08 năm 2014</v>
      </c>
      <c r="B307" s="225"/>
      <c r="J307" s="253"/>
      <c r="K307" s="256"/>
    </row>
    <row r="308" spans="1:11" s="220" customFormat="1" ht="23.25" customHeight="1">
      <c r="A308" s="225" t="str">
        <f>A186</f>
        <v>Tại: Nhà tiểu học 3 phòng - Điểm TĐC Pom Chốn</v>
      </c>
      <c r="B308" s="225"/>
      <c r="J308" s="253"/>
      <c r="K308" s="256"/>
    </row>
    <row r="309" spans="1:11" s="220" customFormat="1" ht="9" customHeight="1">
      <c r="A309" s="225"/>
      <c r="B309" s="225"/>
      <c r="J309" s="252"/>
      <c r="K309" s="256"/>
    </row>
    <row r="310" spans="1:11" s="220" customFormat="1" ht="20.25" customHeight="1">
      <c r="A310" s="224" t="s">
        <v>1193</v>
      </c>
      <c r="B310" s="224"/>
      <c r="J310" s="252"/>
      <c r="K310" s="256"/>
    </row>
    <row r="311" spans="1:11" s="220" customFormat="1" ht="20.25" customHeight="1">
      <c r="A311" s="474" t="str">
        <f>"- Phiếu yêu cầu nghiệm thu của nhà thầu thi công số : "&amp;VLOOKUP($J$284,NTXAY,7,0)&amp;"/PYC"</f>
        <v>- Phiếu yêu cầu nghiệm thu của nhà thầu thi công số : 3/XAYTH3PC/PYC</v>
      </c>
      <c r="B311" s="474"/>
      <c r="C311" s="474"/>
      <c r="D311" s="474"/>
      <c r="E311" s="474"/>
      <c r="F311" s="474"/>
      <c r="G311" s="474"/>
      <c r="H311" s="474"/>
      <c r="I311" s="474"/>
      <c r="J311" s="253"/>
      <c r="K311" s="256"/>
    </row>
    <row r="312" spans="1:11" s="220" customFormat="1" ht="33" customHeight="1">
      <c r="A312" s="473" t="s">
        <v>1184</v>
      </c>
      <c r="B312" s="473"/>
      <c r="C312" s="473"/>
      <c r="D312" s="473"/>
      <c r="E312" s="473"/>
      <c r="F312" s="473"/>
      <c r="G312" s="473"/>
      <c r="H312" s="473"/>
      <c r="I312" s="473"/>
      <c r="J312" s="252"/>
      <c r="K312" s="256"/>
    </row>
    <row r="313" spans="1:11" s="220" customFormat="1" ht="16.5">
      <c r="A313" s="474" t="s">
        <v>1194</v>
      </c>
      <c r="B313" s="474"/>
      <c r="C313" s="474"/>
      <c r="D313" s="474"/>
      <c r="E313" s="474"/>
      <c r="F313" s="474"/>
      <c r="G313" s="474"/>
      <c r="H313" s="474"/>
      <c r="I313" s="474"/>
      <c r="J313" s="252"/>
      <c r="K313" s="256"/>
    </row>
    <row r="314" spans="1:11" ht="16.5">
      <c r="A314" s="225" t="s">
        <v>1369</v>
      </c>
    </row>
    <row r="315" spans="1:11" ht="33.75" customHeight="1">
      <c r="A315" s="473" t="s">
        <v>1370</v>
      </c>
      <c r="B315" s="473"/>
      <c r="C315" s="473"/>
      <c r="D315" s="473"/>
      <c r="E315" s="473"/>
      <c r="F315" s="473"/>
      <c r="G315" s="473"/>
      <c r="H315" s="473"/>
      <c r="I315" s="473"/>
    </row>
    <row r="316" spans="1:11" ht="18.75" customHeight="1">
      <c r="A316" s="225" t="s">
        <v>1346</v>
      </c>
    </row>
    <row r="317" spans="1:11" ht="18.75" customHeight="1">
      <c r="A317" s="225" t="s">
        <v>1196</v>
      </c>
    </row>
    <row r="318" spans="1:11" ht="21.75" customHeight="1">
      <c r="A318" s="224" t="s">
        <v>1224</v>
      </c>
    </row>
    <row r="319" spans="1:11" ht="21.75" customHeight="1">
      <c r="A319" s="225" t="s">
        <v>1371</v>
      </c>
    </row>
    <row r="320" spans="1:11" ht="21.75" customHeight="1">
      <c r="A320" s="224" t="s">
        <v>1240</v>
      </c>
    </row>
    <row r="321" spans="1:11" ht="21.75" customHeight="1">
      <c r="A321" s="224" t="s">
        <v>1241</v>
      </c>
    </row>
    <row r="322" spans="1:11" ht="21.75" customHeight="1">
      <c r="A322" s="225" t="s">
        <v>1357</v>
      </c>
    </row>
    <row r="323" spans="1:11" ht="21.75" customHeight="1">
      <c r="A323" s="225" t="s">
        <v>1358</v>
      </c>
    </row>
    <row r="324" spans="1:11" ht="16.5">
      <c r="A324" s="225"/>
    </row>
    <row r="325" spans="1:11" s="230" customFormat="1" ht="16.5" customHeight="1">
      <c r="A325" s="480" t="s">
        <v>1214</v>
      </c>
      <c r="B325" s="480"/>
      <c r="C325" s="480"/>
      <c r="D325" s="480"/>
      <c r="E325" s="480"/>
      <c r="F325" s="480"/>
      <c r="G325" s="480"/>
      <c r="H325" s="480"/>
      <c r="I325" s="480"/>
      <c r="J325" s="254"/>
      <c r="K325" s="257"/>
    </row>
    <row r="326" spans="1:11" s="260" customFormat="1">
      <c r="A326" s="505" t="s">
        <v>1170</v>
      </c>
      <c r="B326" s="505"/>
      <c r="C326" s="505"/>
      <c r="D326" s="505"/>
      <c r="E326" s="507" t="s">
        <v>872</v>
      </c>
      <c r="F326" s="507"/>
      <c r="G326" s="505" t="s">
        <v>1215</v>
      </c>
      <c r="H326" s="505"/>
      <c r="I326" s="505"/>
      <c r="J326" s="258"/>
      <c r="K326" s="259"/>
    </row>
    <row r="331" spans="1:11" s="273" customFormat="1" ht="15.75">
      <c r="A331" s="480" t="str">
        <f>TPCDT</f>
        <v>..........................................</v>
      </c>
      <c r="B331" s="480"/>
      <c r="C331" s="480"/>
      <c r="D331" s="480"/>
      <c r="E331" s="480" t="str">
        <f>TPTVGS</f>
        <v>..........................................</v>
      </c>
      <c r="F331" s="480"/>
      <c r="G331" s="480" t="str">
        <f>TPDVTC</f>
        <v>Lê Văn Thái</v>
      </c>
      <c r="H331" s="480"/>
      <c r="I331" s="480"/>
      <c r="J331" s="271"/>
      <c r="K331" s="272"/>
    </row>
  </sheetData>
  <mergeCells count="118">
    <mergeCell ref="A216:C216"/>
    <mergeCell ref="A199:I199"/>
    <mergeCell ref="E142:H142"/>
    <mergeCell ref="A169:I169"/>
    <mergeCell ref="A188:I188"/>
    <mergeCell ref="A189:I189"/>
    <mergeCell ref="A160:I160"/>
    <mergeCell ref="A161:I161"/>
    <mergeCell ref="A22:I22"/>
    <mergeCell ref="E28:H28"/>
    <mergeCell ref="E29:H29"/>
    <mergeCell ref="E34:H34"/>
    <mergeCell ref="A118:C118"/>
    <mergeCell ref="E118:I118"/>
    <mergeCell ref="B84:C84"/>
    <mergeCell ref="F84:G84"/>
    <mergeCell ref="A85:I85"/>
    <mergeCell ref="A91:I91"/>
    <mergeCell ref="A92:D92"/>
    <mergeCell ref="E92:F92"/>
    <mergeCell ref="G92:I92"/>
    <mergeCell ref="H80:I80"/>
    <mergeCell ref="B82:C82"/>
    <mergeCell ref="F82:G82"/>
    <mergeCell ref="B83:C83"/>
    <mergeCell ref="F83:G83"/>
    <mergeCell ref="E80:E81"/>
    <mergeCell ref="F80:G81"/>
    <mergeCell ref="A75:I75"/>
    <mergeCell ref="E7:I7"/>
    <mergeCell ref="A20:I20"/>
    <mergeCell ref="A21:I21"/>
    <mergeCell ref="A55:I55"/>
    <mergeCell ref="A73:I73"/>
    <mergeCell ref="A74:I74"/>
    <mergeCell ref="A76:I76"/>
    <mergeCell ref="A77:I77"/>
    <mergeCell ref="A326:D326"/>
    <mergeCell ref="E326:F326"/>
    <mergeCell ref="G326:I326"/>
    <mergeCell ref="A293:I293"/>
    <mergeCell ref="A311:I311"/>
    <mergeCell ref="A312:I312"/>
    <mergeCell ref="A313:I313"/>
    <mergeCell ref="A315:I315"/>
    <mergeCell ref="A325:I325"/>
    <mergeCell ref="A280:D280"/>
    <mergeCell ref="E280:I280"/>
    <mergeCell ref="A281:D281"/>
    <mergeCell ref="E281:I281"/>
    <mergeCell ref="E98:F98"/>
    <mergeCell ref="A119:C119"/>
    <mergeCell ref="A4:C4"/>
    <mergeCell ref="E4:I4"/>
    <mergeCell ref="A5:C5"/>
    <mergeCell ref="E5:I5"/>
    <mergeCell ref="A6:C6"/>
    <mergeCell ref="A9:I9"/>
    <mergeCell ref="A10:I10"/>
    <mergeCell ref="A42:D42"/>
    <mergeCell ref="E42:I42"/>
    <mergeCell ref="A43:D43"/>
    <mergeCell ref="E43:I43"/>
    <mergeCell ref="A44:D44"/>
    <mergeCell ref="F45:I45"/>
    <mergeCell ref="A46:I46"/>
    <mergeCell ref="A47:I47"/>
    <mergeCell ref="A80:A81"/>
    <mergeCell ref="B80:C81"/>
    <mergeCell ref="D80:D81"/>
    <mergeCell ref="A135:I135"/>
    <mergeCell ref="A136:I136"/>
    <mergeCell ref="A258:I258"/>
    <mergeCell ref="E143:H143"/>
    <mergeCell ref="A282:D282"/>
    <mergeCell ref="F283:I283"/>
    <mergeCell ref="E331:F331"/>
    <mergeCell ref="A98:D98"/>
    <mergeCell ref="G98:I98"/>
    <mergeCell ref="A331:D331"/>
    <mergeCell ref="G331:I331"/>
    <mergeCell ref="F216:G216"/>
    <mergeCell ref="H216:I216"/>
    <mergeCell ref="A190:I190"/>
    <mergeCell ref="A156:D156"/>
    <mergeCell ref="E156:I156"/>
    <mergeCell ref="A157:D157"/>
    <mergeCell ref="E157:I157"/>
    <mergeCell ref="A158:D158"/>
    <mergeCell ref="F159:I159"/>
    <mergeCell ref="A123:I123"/>
    <mergeCell ref="A124:I124"/>
    <mergeCell ref="A247:I247"/>
    <mergeCell ref="A248:I248"/>
    <mergeCell ref="A285:I285"/>
    <mergeCell ref="A193:I193"/>
    <mergeCell ref="A209:C210"/>
    <mergeCell ref="D209:E210"/>
    <mergeCell ref="F209:G210"/>
    <mergeCell ref="H209:I210"/>
    <mergeCell ref="E119:I119"/>
    <mergeCell ref="A120:C120"/>
    <mergeCell ref="A284:I284"/>
    <mergeCell ref="D216:E216"/>
    <mergeCell ref="A259:I259"/>
    <mergeCell ref="A260:I260"/>
    <mergeCell ref="E266:H266"/>
    <mergeCell ref="E267:H267"/>
    <mergeCell ref="E272:H272"/>
    <mergeCell ref="A244:C244"/>
    <mergeCell ref="E245:I245"/>
    <mergeCell ref="E121:I121"/>
    <mergeCell ref="E148:H148"/>
    <mergeCell ref="A242:C242"/>
    <mergeCell ref="E242:I242"/>
    <mergeCell ref="A243:C243"/>
    <mergeCell ref="E243:I243"/>
    <mergeCell ref="A134:I134"/>
  </mergeCells>
  <hyperlinks>
    <hyperlink ref="D2" location="'BBNT-XAY'!A47" display="VLĐV"/>
    <hyperlink ref="E2" location="'BBNT-XAY'!A161" display="LMXAY"/>
    <hyperlink ref="F2" location="'BBNT-XAY'!A287" display="NTXAY"/>
  </hyperlinks>
  <pageMargins left="0.7" right="0.63" top="0.75" bottom="0.75" header="0.3" footer="0.3"/>
  <pageSetup paperSize="9" scale="98" orientation="portrait" r:id="rId1"/>
  <rowBreaks count="11" manualBreakCount="11">
    <brk id="39" max="8" man="1"/>
    <brk id="41" max="8" man="1"/>
    <brk id="77" max="8" man="1"/>
    <brk id="117" max="8" man="1"/>
    <brk id="153" max="8" man="1"/>
    <brk id="155" max="8" man="1"/>
    <brk id="195" max="8" man="1"/>
    <brk id="241" max="8" man="1"/>
    <brk id="277" max="8" man="1"/>
    <brk id="279" max="8" man="1"/>
    <brk id="317"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Spinner 1">
              <controlPr defaultSize="0" autoPict="0">
                <anchor moveWithCells="1" sizeWithCells="1">
                  <from>
                    <xdr:col>2</xdr:col>
                    <xdr:colOff>76200</xdr:colOff>
                    <xdr:row>1</xdr:row>
                    <xdr:rowOff>28575</xdr:rowOff>
                  </from>
                  <to>
                    <xdr:col>2</xdr:col>
                    <xdr:colOff>390525</xdr:colOff>
                    <xdr:row>2</xdr:row>
                    <xdr:rowOff>161925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C00000"/>
  </sheetPr>
  <dimension ref="A1:O136"/>
  <sheetViews>
    <sheetView view="pageBreakPreview" zoomScaleNormal="100" zoomScaleSheetLayoutView="100" workbookViewId="0">
      <pane ySplit="1" topLeftCell="A69" activePane="bottomLeft" state="frozen"/>
      <selection activeCell="K17" sqref="K17"/>
      <selection pane="bottomLeft" activeCell="N74" sqref="M74:N74"/>
    </sheetView>
  </sheetViews>
  <sheetFormatPr defaultRowHeight="14.25"/>
  <cols>
    <col min="1" max="1" width="6.375" customWidth="1"/>
    <col min="5" max="5" width="9" customWidth="1"/>
    <col min="7" max="8" width="10.625" customWidth="1"/>
    <col min="10" max="10" width="0" hidden="1" customWidth="1"/>
    <col min="11" max="11" width="19.875" customWidth="1"/>
  </cols>
  <sheetData>
    <row r="1" spans="1:15" s="315" customFormat="1" ht="28.5" customHeight="1">
      <c r="D1" s="349" t="s">
        <v>1130</v>
      </c>
      <c r="E1" s="349">
        <v>1</v>
      </c>
      <c r="K1" s="296"/>
      <c r="L1" s="296"/>
      <c r="M1" s="303"/>
      <c r="N1" s="303"/>
      <c r="O1" s="303"/>
    </row>
    <row r="2" spans="1:15" ht="16.5">
      <c r="A2" s="478" t="s">
        <v>1396</v>
      </c>
      <c r="B2" s="478"/>
      <c r="C2" s="478"/>
      <c r="D2" s="220"/>
      <c r="E2" s="476" t="s">
        <v>1174</v>
      </c>
      <c r="F2" s="476"/>
      <c r="G2" s="476"/>
      <c r="H2" s="476"/>
      <c r="I2" s="476"/>
      <c r="J2" s="284"/>
    </row>
    <row r="3" spans="1:15" ht="18.75">
      <c r="A3" s="478" t="s">
        <v>1397</v>
      </c>
      <c r="B3" s="478"/>
      <c r="C3" s="478"/>
      <c r="D3" s="220"/>
      <c r="E3" s="477" t="s">
        <v>1176</v>
      </c>
      <c r="F3" s="477"/>
      <c r="G3" s="477"/>
      <c r="H3" s="477"/>
      <c r="I3" s="477"/>
      <c r="J3" s="284"/>
    </row>
    <row r="4" spans="1:15" ht="16.5">
      <c r="A4" s="478" t="s">
        <v>1398</v>
      </c>
      <c r="B4" s="478"/>
      <c r="C4" s="478"/>
      <c r="J4" s="284"/>
    </row>
    <row r="5" spans="1:15" ht="16.5">
      <c r="A5" s="280"/>
      <c r="B5" s="266"/>
      <c r="E5" s="492" t="str">
        <f>"Quan Hóa , ngày "&amp;VLOOKUP($J$48,NTCVKHAC,9,0)&amp;" tháng "&amp;VLOOKUP($J$48,NTCVKHAC,10,0)&amp;" năm 2014"</f>
        <v>Quan Hóa , ngày 18 tháng 08 năm 2014</v>
      </c>
      <c r="F5" s="492"/>
      <c r="G5" s="492"/>
      <c r="H5" s="492"/>
      <c r="I5" s="492"/>
      <c r="J5" s="284"/>
    </row>
    <row r="6" spans="1:15" ht="6.75" customHeight="1">
      <c r="A6" s="280"/>
      <c r="J6" s="284"/>
    </row>
    <row r="7" spans="1:15" ht="18.75">
      <c r="A7" s="470" t="str">
        <f>"PHIẾU YÊU CẦU SỐ: "&amp;VLOOKUP($J$48,NTCVKHAC,7,0)&amp;"/PYC"</f>
        <v>PHIẾU YÊU CẦU SỐ: 1/DMTH3PC/PYC</v>
      </c>
      <c r="B7" s="470"/>
      <c r="C7" s="470"/>
      <c r="D7" s="470"/>
      <c r="E7" s="470"/>
      <c r="F7" s="470"/>
      <c r="G7" s="470"/>
      <c r="H7" s="470"/>
      <c r="J7" s="309">
        <f>$E$1</f>
        <v>1</v>
      </c>
    </row>
    <row r="8" spans="1:15" ht="17.25">
      <c r="A8" s="471" t="str">
        <f>"("&amp;VLOOKUP($J$48,NTCVKHAC,4,0)&amp;")"</f>
        <v>(Đào hố móng)</v>
      </c>
      <c r="B8" s="471"/>
      <c r="C8" s="471"/>
      <c r="D8" s="471"/>
      <c r="E8" s="471"/>
      <c r="F8" s="471"/>
      <c r="G8" s="471"/>
      <c r="H8" s="471"/>
      <c r="J8" s="284"/>
    </row>
    <row r="9" spans="1:15" ht="7.5" customHeight="1">
      <c r="A9" s="226"/>
      <c r="B9" s="220"/>
      <c r="J9" s="284"/>
    </row>
    <row r="10" spans="1:15" ht="16.5">
      <c r="A10" s="224" t="s">
        <v>1179</v>
      </c>
      <c r="B10" s="266"/>
      <c r="J10" s="284"/>
    </row>
    <row r="11" spans="1:15" ht="16.5">
      <c r="A11" s="224" t="s">
        <v>1412</v>
      </c>
      <c r="B11" s="266"/>
      <c r="J11" s="284"/>
    </row>
    <row r="12" spans="1:15" ht="16.5">
      <c r="A12" s="224" t="s">
        <v>1399</v>
      </c>
      <c r="B12" s="220"/>
      <c r="J12" s="284"/>
    </row>
    <row r="13" spans="1:15" ht="16.5">
      <c r="A13" s="224" t="s">
        <v>1400</v>
      </c>
      <c r="B13" s="220"/>
      <c r="J13" s="284"/>
    </row>
    <row r="14" spans="1:15" ht="8.25" customHeight="1">
      <c r="A14" s="266"/>
      <c r="B14" s="220"/>
      <c r="J14" s="284"/>
    </row>
    <row r="15" spans="1:15" ht="16.5">
      <c r="A15" s="224" t="s">
        <v>1401</v>
      </c>
      <c r="B15" s="220"/>
      <c r="C15" s="266" t="s">
        <v>1402</v>
      </c>
      <c r="J15" s="284"/>
    </row>
    <row r="16" spans="1:15" ht="16.5">
      <c r="A16" s="220"/>
      <c r="B16" s="220"/>
      <c r="C16" s="266" t="s">
        <v>1403</v>
      </c>
      <c r="J16" s="284"/>
    </row>
    <row r="17" spans="1:11" ht="6.75" customHeight="1">
      <c r="A17" s="277"/>
      <c r="B17" s="220"/>
      <c r="J17" s="284"/>
    </row>
    <row r="18" spans="1:11" ht="49.5" customHeight="1">
      <c r="A18" s="473" t="s">
        <v>1420</v>
      </c>
      <c r="B18" s="473"/>
      <c r="C18" s="473"/>
      <c r="D18" s="473"/>
      <c r="E18" s="473"/>
      <c r="F18" s="473"/>
      <c r="G18" s="473"/>
      <c r="H18" s="473"/>
      <c r="I18" s="473"/>
      <c r="J18" s="284"/>
      <c r="K18" s="282"/>
    </row>
    <row r="19" spans="1:11" ht="16.5">
      <c r="A19" s="473" t="s">
        <v>1414</v>
      </c>
      <c r="B19" s="473"/>
      <c r="C19" s="473"/>
      <c r="D19" s="473"/>
      <c r="E19" s="473"/>
      <c r="F19" s="473"/>
      <c r="G19" s="473"/>
      <c r="H19" s="473"/>
      <c r="I19" s="473"/>
      <c r="J19" s="284"/>
      <c r="K19" s="282"/>
    </row>
    <row r="20" spans="1:11" ht="35.25" customHeight="1">
      <c r="A20" s="485" t="str">
        <f>"    "&amp;VLOOKUP($J$48,NTCVKHAC,4,0)&amp;", "&amp;VITRI&amp;", "&amp;DIEMTDC</f>
        <v xml:space="preserve">    Đào hố móng, Nhà tiểu học 3 phòng, Điểm TĐC Pom Chốn</v>
      </c>
      <c r="B20" s="485"/>
      <c r="C20" s="485"/>
      <c r="D20" s="485"/>
      <c r="E20" s="485"/>
      <c r="F20" s="485"/>
      <c r="G20" s="485"/>
      <c r="H20" s="485"/>
      <c r="I20" s="485"/>
      <c r="J20" s="284"/>
    </row>
    <row r="21" spans="1:11" ht="18.75" customHeight="1">
      <c r="A21" s="266" t="s">
        <v>1415</v>
      </c>
      <c r="B21" s="220"/>
      <c r="J21" s="284"/>
    </row>
    <row r="22" spans="1:11" ht="18.75" customHeight="1">
      <c r="A22" s="266" t="str">
        <f>"     Thời gian: "&amp;VLOOKUP($J$48,NTCVKHAC,12,0)&amp;", ngày "&amp;VLOOKUP($J$48,NTCVKHAC,14,0)&amp;" tháng "&amp;VLOOKUP($J$48,NTCVKHAC,15,0)&amp;" năm 2014"</f>
        <v xml:space="preserve">     Thời gian: 08 giờ 00, ngày 19 tháng 08 năm 2014</v>
      </c>
      <c r="B22" s="220"/>
      <c r="J22" s="284"/>
    </row>
    <row r="23" spans="1:11" ht="18.75" customHeight="1">
      <c r="A23" s="266" t="str">
        <f>"     Tại lô nhà "&amp;VITRI&amp;", "&amp;DIEMTDC</f>
        <v xml:space="preserve">     Tại lô nhà Nhà tiểu học 3 phòng, Điểm TĐC Pom Chốn</v>
      </c>
      <c r="B23" s="220"/>
      <c r="J23" s="284"/>
    </row>
    <row r="24" spans="1:11" ht="16.5">
      <c r="A24" s="221" t="s">
        <v>1404</v>
      </c>
      <c r="B24" s="220"/>
      <c r="J24" s="284"/>
    </row>
    <row r="25" spans="1:11" ht="16.5">
      <c r="A25" s="266"/>
      <c r="B25" s="220"/>
      <c r="J25" s="284"/>
    </row>
    <row r="26" spans="1:11" ht="16.5">
      <c r="A26" s="278" t="s">
        <v>1405</v>
      </c>
      <c r="E26" s="478" t="s">
        <v>1408</v>
      </c>
      <c r="F26" s="478"/>
      <c r="G26" s="478"/>
      <c r="H26" s="478"/>
      <c r="J26" s="284"/>
    </row>
    <row r="27" spans="1:11" ht="16.5">
      <c r="A27" s="279" t="s">
        <v>1406</v>
      </c>
      <c r="E27" s="478" t="s">
        <v>1409</v>
      </c>
      <c r="F27" s="478"/>
      <c r="G27" s="478"/>
      <c r="H27" s="478"/>
      <c r="J27" s="284"/>
    </row>
    <row r="28" spans="1:11" ht="16.5">
      <c r="A28" s="279" t="s">
        <v>1407</v>
      </c>
      <c r="B28" s="224"/>
      <c r="J28" s="284"/>
    </row>
    <row r="29" spans="1:11" ht="16.5">
      <c r="A29" s="232"/>
      <c r="B29" s="224"/>
      <c r="J29" s="284"/>
    </row>
    <row r="30" spans="1:11" ht="16.5">
      <c r="A30" s="232"/>
      <c r="B30" s="224"/>
      <c r="J30" s="284"/>
    </row>
    <row r="31" spans="1:11" ht="16.5">
      <c r="A31" s="232"/>
      <c r="B31" s="224"/>
      <c r="J31" s="284"/>
    </row>
    <row r="32" spans="1:11" ht="14.25" customHeight="1">
      <c r="A32" s="232"/>
      <c r="E32" s="478" t="s">
        <v>1410</v>
      </c>
      <c r="F32" s="478"/>
      <c r="G32" s="478"/>
      <c r="H32" s="478"/>
      <c r="J32" s="284"/>
    </row>
    <row r="33" spans="1:11" ht="16.5">
      <c r="A33" s="232"/>
      <c r="B33" s="224"/>
      <c r="J33" s="284"/>
    </row>
    <row r="34" spans="1:11" ht="16.5">
      <c r="A34" s="224" t="s">
        <v>1411</v>
      </c>
      <c r="B34" s="220"/>
      <c r="J34" s="284"/>
    </row>
    <row r="35" spans="1:11" ht="21" customHeight="1">
      <c r="A35" t="s">
        <v>1413</v>
      </c>
      <c r="J35" s="284"/>
    </row>
    <row r="36" spans="1:11" ht="21" customHeight="1">
      <c r="A36" t="s">
        <v>1413</v>
      </c>
      <c r="J36" s="284"/>
    </row>
    <row r="37" spans="1:11" ht="21" customHeight="1">
      <c r="A37" t="s">
        <v>1413</v>
      </c>
      <c r="J37" s="284"/>
    </row>
    <row r="38" spans="1:11">
      <c r="J38" s="284"/>
    </row>
    <row r="39" spans="1:11">
      <c r="J39" s="284"/>
    </row>
    <row r="40" spans="1:11" s="220" customFormat="1" ht="16.5">
      <c r="A40" s="482" t="s">
        <v>1173</v>
      </c>
      <c r="B40" s="482"/>
      <c r="C40" s="482"/>
      <c r="D40" s="482"/>
      <c r="E40" s="478" t="s">
        <v>1174</v>
      </c>
      <c r="F40" s="478"/>
      <c r="G40" s="478"/>
      <c r="H40" s="478"/>
      <c r="I40" s="478"/>
      <c r="J40" s="252"/>
      <c r="K40" s="256"/>
    </row>
    <row r="41" spans="1:11" s="220" customFormat="1" ht="18.75">
      <c r="A41" s="482" t="s">
        <v>1175</v>
      </c>
      <c r="B41" s="482"/>
      <c r="C41" s="482"/>
      <c r="D41" s="482"/>
      <c r="E41" s="470" t="s">
        <v>1176</v>
      </c>
      <c r="F41" s="470"/>
      <c r="G41" s="470"/>
      <c r="H41" s="470"/>
      <c r="I41" s="470"/>
      <c r="J41" s="252"/>
      <c r="K41" s="256"/>
    </row>
    <row r="42" spans="1:11" s="220" customFormat="1" ht="16.5">
      <c r="A42" s="478" t="s">
        <v>1177</v>
      </c>
      <c r="B42" s="478"/>
      <c r="C42" s="478"/>
      <c r="D42" s="478"/>
      <c r="G42" s="221"/>
      <c r="J42" s="252"/>
      <c r="K42" s="256"/>
    </row>
    <row r="43" spans="1:11" s="220" customFormat="1" ht="18.75">
      <c r="A43" s="222"/>
      <c r="B43" s="222"/>
      <c r="F43" s="479" t="str">
        <f>"Quan Hóa , ngày "&amp;VLOOKUP($J$48,NTCVKHAC,14,0)&amp;" tháng "&amp;VLOOKUP($J$48,NTCVKHAC,15,0)&amp;" năm 2014"</f>
        <v>Quan Hóa , ngày 19 tháng 08 năm 2014</v>
      </c>
      <c r="G43" s="479"/>
      <c r="H43" s="479"/>
      <c r="I43" s="479"/>
      <c r="J43" s="253"/>
      <c r="K43" s="256"/>
    </row>
    <row r="44" spans="1:11" s="220" customFormat="1" ht="6.75" customHeight="1">
      <c r="A44" s="222"/>
      <c r="B44" s="222"/>
      <c r="F44" s="267"/>
      <c r="G44" s="267"/>
      <c r="H44" s="267"/>
      <c r="I44" s="267"/>
      <c r="J44" s="253"/>
      <c r="K44" s="256"/>
    </row>
    <row r="45" spans="1:11" s="220" customFormat="1" ht="19.5">
      <c r="A45" s="472" t="str">
        <f>"BIÊN BẢN SỐ: "&amp;VLOOKUP($J$48,NTCVKHAC,8,0)&amp;"/NTCV"</f>
        <v>BIÊN BẢN SỐ: 1/DMTH3PC/NTCV</v>
      </c>
      <c r="B45" s="472"/>
      <c r="C45" s="472"/>
      <c r="D45" s="472"/>
      <c r="E45" s="472"/>
      <c r="F45" s="472"/>
      <c r="G45" s="472"/>
      <c r="H45" s="472"/>
      <c r="I45" s="472"/>
      <c r="J45" s="253"/>
      <c r="K45" s="256"/>
    </row>
    <row r="46" spans="1:11" s="220" customFormat="1" ht="19.5">
      <c r="A46" s="472" t="s">
        <v>1394</v>
      </c>
      <c r="B46" s="472"/>
      <c r="C46" s="472"/>
      <c r="D46" s="472"/>
      <c r="E46" s="472"/>
      <c r="F46" s="472"/>
      <c r="G46" s="472"/>
      <c r="H46" s="472"/>
      <c r="I46" s="472"/>
      <c r="J46" s="252"/>
      <c r="K46" s="256"/>
    </row>
    <row r="47" spans="1:11" s="220" customFormat="1" ht="8.25" customHeight="1">
      <c r="A47" s="223"/>
      <c r="B47" s="223"/>
      <c r="J47" s="252"/>
      <c r="K47" s="256"/>
    </row>
    <row r="48" spans="1:11" s="220" customFormat="1" ht="21.75" customHeight="1">
      <c r="A48" s="224" t="s">
        <v>1179</v>
      </c>
      <c r="B48" s="224"/>
      <c r="D48" s="266"/>
      <c r="J48" s="252">
        <f>$E$1</f>
        <v>1</v>
      </c>
      <c r="K48" s="256"/>
    </row>
    <row r="49" spans="1:11" s="220" customFormat="1" ht="21.75" customHeight="1">
      <c r="A49" s="224" t="s">
        <v>1180</v>
      </c>
      <c r="B49" s="224"/>
      <c r="D49" s="266"/>
      <c r="J49" s="252"/>
      <c r="K49" s="256"/>
    </row>
    <row r="50" spans="1:11" s="220" customFormat="1" ht="21.75" customHeight="1">
      <c r="A50" s="224" t="s">
        <v>1181</v>
      </c>
      <c r="B50" s="224"/>
      <c r="J50" s="252"/>
      <c r="K50" s="256"/>
    </row>
    <row r="51" spans="1:11" s="220" customFormat="1" ht="21.75" customHeight="1">
      <c r="A51" s="224" t="s">
        <v>1182</v>
      </c>
      <c r="B51" s="224"/>
      <c r="J51" s="252"/>
      <c r="K51" s="256"/>
    </row>
    <row r="52" spans="1:11" s="220" customFormat="1" ht="8.25" customHeight="1">
      <c r="A52" s="224"/>
      <c r="B52" s="224"/>
      <c r="J52" s="252"/>
      <c r="K52" s="256"/>
    </row>
    <row r="53" spans="1:11" s="220" customFormat="1" ht="16.5">
      <c r="A53" s="224" t="s">
        <v>1183</v>
      </c>
      <c r="B53" s="224"/>
      <c r="J53" s="252"/>
      <c r="K53" s="256"/>
    </row>
    <row r="54" spans="1:11" s="220" customFormat="1" ht="32.25" customHeight="1">
      <c r="A54" s="473" t="str">
        <f>"- "&amp;VLOOKUP($J$48,NTCVKHAC,4,0)&amp;", "&amp;VITRI&amp;", "&amp;DIEMTDC</f>
        <v>- Đào hố móng, Nhà tiểu học 3 phòng, Điểm TĐC Pom Chốn</v>
      </c>
      <c r="B54" s="473"/>
      <c r="C54" s="473"/>
      <c r="D54" s="473"/>
      <c r="E54" s="473"/>
      <c r="F54" s="473"/>
      <c r="G54" s="473"/>
      <c r="H54" s="473"/>
      <c r="I54" s="473"/>
      <c r="J54" s="253"/>
      <c r="K54" s="256"/>
    </row>
    <row r="55" spans="1:11" s="220" customFormat="1" ht="20.25" customHeight="1">
      <c r="A55" s="224" t="s">
        <v>1185</v>
      </c>
      <c r="B55" s="224"/>
      <c r="J55" s="252"/>
      <c r="K55" s="256"/>
    </row>
    <row r="56" spans="1:11" s="220" customFormat="1" ht="23.25" customHeight="1">
      <c r="A56" s="226" t="s">
        <v>1186</v>
      </c>
      <c r="B56" s="226"/>
      <c r="J56" s="252"/>
      <c r="K56" s="256"/>
    </row>
    <row r="57" spans="1:11" s="220" customFormat="1" ht="22.5" customHeight="1">
      <c r="A57" s="239" t="s">
        <v>1359</v>
      </c>
      <c r="B57" s="266" t="str">
        <f>TPCDT</f>
        <v>..........................................</v>
      </c>
      <c r="F57" s="266" t="str">
        <f>"Chức vụ: "&amp;CVCDT</f>
        <v>Chức vụ: .................................</v>
      </c>
      <c r="J57" s="252"/>
      <c r="K57" s="256"/>
    </row>
    <row r="58" spans="1:11" s="220" customFormat="1" ht="22.5" customHeight="1">
      <c r="A58" s="266" t="s">
        <v>1187</v>
      </c>
      <c r="B58" s="266"/>
      <c r="F58" s="266" t="s">
        <v>1188</v>
      </c>
      <c r="J58" s="252"/>
      <c r="K58" s="256"/>
    </row>
    <row r="59" spans="1:11" s="220" customFormat="1" ht="22.5" customHeight="1">
      <c r="A59" s="226" t="s">
        <v>1189</v>
      </c>
      <c r="B59" s="226"/>
      <c r="J59" s="252"/>
      <c r="K59" s="256"/>
    </row>
    <row r="60" spans="1:11" s="220" customFormat="1" ht="21.75" customHeight="1">
      <c r="A60" s="370" t="s">
        <v>1360</v>
      </c>
      <c r="B60" s="369" t="s">
        <v>1757</v>
      </c>
      <c r="F60" s="369" t="s">
        <v>1903</v>
      </c>
      <c r="J60" s="283"/>
    </row>
    <row r="61" spans="1:11" s="220" customFormat="1" ht="21.75" customHeight="1">
      <c r="A61" s="370" t="s">
        <v>1360</v>
      </c>
      <c r="B61" s="369" t="s">
        <v>1902</v>
      </c>
      <c r="F61" s="369" t="s">
        <v>1903</v>
      </c>
      <c r="J61" s="283"/>
    </row>
    <row r="62" spans="1:11" s="220" customFormat="1" ht="22.5" customHeight="1">
      <c r="A62" s="226" t="s">
        <v>1190</v>
      </c>
      <c r="B62" s="226"/>
      <c r="J62" s="252"/>
      <c r="K62" s="256"/>
    </row>
    <row r="63" spans="1:11" s="220" customFormat="1" ht="22.5" customHeight="1">
      <c r="A63" s="239" t="s">
        <v>1359</v>
      </c>
      <c r="B63" s="266" t="str">
        <f>TPDVTC</f>
        <v>Lê Văn Thái</v>
      </c>
      <c r="F63" s="266" t="s">
        <v>1191</v>
      </c>
      <c r="J63" s="253"/>
      <c r="K63" s="256"/>
    </row>
    <row r="64" spans="1:11" s="220" customFormat="1" ht="22.5" customHeight="1">
      <c r="A64" s="266" t="s">
        <v>1187</v>
      </c>
      <c r="B64" s="266"/>
      <c r="F64" s="266" t="s">
        <v>1188</v>
      </c>
      <c r="J64" s="252"/>
      <c r="K64" s="256"/>
    </row>
    <row r="65" spans="1:11" s="220" customFormat="1" ht="9" customHeight="1">
      <c r="A65" s="266"/>
      <c r="B65" s="266"/>
      <c r="F65" s="266"/>
      <c r="J65" s="252"/>
      <c r="K65" s="256"/>
    </row>
    <row r="66" spans="1:11" s="220" customFormat="1" ht="20.25" customHeight="1">
      <c r="A66" s="224" t="s">
        <v>1192</v>
      </c>
      <c r="B66" s="224"/>
      <c r="J66" s="252"/>
      <c r="K66" s="256"/>
    </row>
    <row r="67" spans="1:11" s="220" customFormat="1" ht="23.25" customHeight="1">
      <c r="A67" s="266" t="str">
        <f>"Bắt đầu: "&amp;VLOOKUP($J$48,NTCVKHAC,12,0)&amp;", ngày "&amp;VLOOKUP($J$48,NTCVKHAC,14,0)&amp;" tháng "&amp;VLOOKUP($J$48,NTCVKHAC,15,0)&amp;" năm 2014"</f>
        <v>Bắt đầu: 08 giờ 00, ngày 19 tháng 08 năm 2014</v>
      </c>
      <c r="B67" s="266"/>
      <c r="J67" s="253"/>
      <c r="K67" s="256"/>
    </row>
    <row r="68" spans="1:11" s="220" customFormat="1" ht="23.25" customHeight="1">
      <c r="A68" s="266" t="str">
        <f>"Kết thúc: "&amp;VLOOKUP($J$48,NTCVKHAC,13,0)&amp;", ngày "&amp;VLOOKUP($J$48,NTCVKHAC,14,0)&amp;" tháng "&amp;VLOOKUP($J$48,NTCVKHAC,15,0)&amp;" năm 2014"</f>
        <v>Kết thúc: 09 giờ 00, ngày 19 tháng 08 năm 2014</v>
      </c>
      <c r="B68" s="266"/>
      <c r="J68" s="253"/>
      <c r="K68" s="256"/>
    </row>
    <row r="69" spans="1:11" s="220" customFormat="1" ht="23.25" customHeight="1">
      <c r="A69" s="266" t="str">
        <f>"Tại : "&amp;VITRI&amp;" - "&amp;DIEMTDC</f>
        <v>Tại : Nhà tiểu học 3 phòng - Điểm TĐC Pom Chốn</v>
      </c>
      <c r="B69" s="266"/>
      <c r="J69" s="253"/>
      <c r="K69" s="256"/>
    </row>
    <row r="70" spans="1:11" s="220" customFormat="1" ht="9" customHeight="1">
      <c r="A70" s="266"/>
      <c r="B70" s="266"/>
      <c r="J70" s="252"/>
      <c r="K70" s="256"/>
    </row>
    <row r="71" spans="1:11" s="220" customFormat="1" ht="20.25" customHeight="1">
      <c r="A71" s="224" t="s">
        <v>1193</v>
      </c>
      <c r="B71" s="224"/>
      <c r="J71" s="252"/>
      <c r="K71" s="256"/>
    </row>
    <row r="72" spans="1:11" s="220" customFormat="1" ht="20.25" customHeight="1">
      <c r="A72" s="224" t="s">
        <v>1217</v>
      </c>
      <c r="B72" s="224"/>
      <c r="J72" s="252"/>
      <c r="K72" s="256"/>
    </row>
    <row r="73" spans="1:11" s="220" customFormat="1" ht="18.75" customHeight="1">
      <c r="A73" s="474" t="str">
        <f>"- Phiếu yêu cầu nghiệm thu của nhà thầu thi công số : "&amp;VLOOKUP($J$48,NTCVKHAC,7,0)&amp;"/PYC"</f>
        <v>- Phiếu yêu cầu nghiệm thu của nhà thầu thi công số : 1/DMTH3PC/PYC</v>
      </c>
      <c r="B73" s="474"/>
      <c r="C73" s="474"/>
      <c r="D73" s="474"/>
      <c r="E73" s="474"/>
      <c r="F73" s="474"/>
      <c r="G73" s="474"/>
      <c r="H73" s="474"/>
      <c r="I73" s="474"/>
      <c r="J73" s="253"/>
      <c r="K73" s="256"/>
    </row>
    <row r="74" spans="1:11" s="220" customFormat="1" ht="33" customHeight="1">
      <c r="A74" s="473" t="s">
        <v>1184</v>
      </c>
      <c r="B74" s="473"/>
      <c r="C74" s="473"/>
      <c r="D74" s="473"/>
      <c r="E74" s="473"/>
      <c r="F74" s="473"/>
      <c r="G74" s="473"/>
      <c r="H74" s="473"/>
      <c r="I74" s="473"/>
      <c r="J74" s="252"/>
      <c r="K74" s="256"/>
    </row>
    <row r="75" spans="1:11" s="220" customFormat="1" ht="20.25" customHeight="1">
      <c r="A75" s="474" t="s">
        <v>1194</v>
      </c>
      <c r="B75" s="474"/>
      <c r="C75" s="474"/>
      <c r="D75" s="474"/>
      <c r="E75" s="474"/>
      <c r="F75" s="474"/>
      <c r="G75" s="474"/>
      <c r="H75" s="474"/>
      <c r="I75" s="474"/>
      <c r="J75" s="252"/>
      <c r="K75" s="256"/>
    </row>
    <row r="76" spans="1:11" ht="16.5" hidden="1">
      <c r="A76" s="239" t="s">
        <v>1859</v>
      </c>
      <c r="J76" s="252"/>
      <c r="K76" s="364" t="s">
        <v>1860</v>
      </c>
    </row>
    <row r="77" spans="1:11" ht="33.75" hidden="1" customHeight="1">
      <c r="A77" s="508" t="s">
        <v>1861</v>
      </c>
      <c r="B77" s="508"/>
      <c r="C77" s="508"/>
      <c r="D77" s="508"/>
      <c r="E77" s="508"/>
      <c r="F77" s="508"/>
      <c r="G77" s="508"/>
      <c r="H77" s="508"/>
      <c r="I77" s="508"/>
      <c r="J77" s="252"/>
      <c r="K77" s="364" t="s">
        <v>1860</v>
      </c>
    </row>
    <row r="78" spans="1:11" ht="33.75" hidden="1" customHeight="1">
      <c r="A78" s="508" t="s">
        <v>1862</v>
      </c>
      <c r="B78" s="508"/>
      <c r="C78" s="508"/>
      <c r="D78" s="508"/>
      <c r="E78" s="508"/>
      <c r="F78" s="508"/>
      <c r="G78" s="508"/>
      <c r="H78" s="508"/>
      <c r="I78" s="508"/>
      <c r="J78" s="252"/>
      <c r="K78" s="364" t="s">
        <v>1860</v>
      </c>
    </row>
    <row r="79" spans="1:11" ht="33.75" hidden="1" customHeight="1">
      <c r="A79" s="508" t="s">
        <v>1863</v>
      </c>
      <c r="B79" s="473"/>
      <c r="C79" s="473"/>
      <c r="D79" s="473"/>
      <c r="E79" s="473"/>
      <c r="F79" s="473"/>
      <c r="G79" s="473"/>
      <c r="H79" s="473"/>
      <c r="I79" s="473"/>
      <c r="J79" s="252"/>
      <c r="K79" s="364" t="s">
        <v>1864</v>
      </c>
    </row>
    <row r="80" spans="1:11" ht="16.5" hidden="1">
      <c r="A80" s="509" t="s">
        <v>1865</v>
      </c>
      <c r="B80" s="474"/>
      <c r="C80" s="474"/>
      <c r="D80" s="474"/>
      <c r="E80" s="474"/>
      <c r="F80" s="474"/>
      <c r="G80" s="474"/>
      <c r="H80" s="474"/>
      <c r="I80" s="474"/>
      <c r="J80" s="252"/>
      <c r="K80" s="364" t="s">
        <v>1866</v>
      </c>
    </row>
    <row r="81" spans="1:11" ht="16.5" hidden="1">
      <c r="A81" s="509" t="s">
        <v>1867</v>
      </c>
      <c r="B81" s="509"/>
      <c r="C81" s="509"/>
      <c r="D81" s="509"/>
      <c r="E81" s="509"/>
      <c r="F81" s="509"/>
      <c r="G81" s="509"/>
      <c r="H81" s="509"/>
      <c r="I81" s="509"/>
      <c r="J81" s="252"/>
      <c r="K81" s="364" t="s">
        <v>1868</v>
      </c>
    </row>
    <row r="82" spans="1:11" ht="16.5" hidden="1">
      <c r="A82" s="239" t="s">
        <v>1869</v>
      </c>
      <c r="B82" s="352"/>
      <c r="C82" s="352"/>
      <c r="D82" s="352"/>
      <c r="E82" s="352"/>
      <c r="F82" s="352"/>
      <c r="G82" s="352"/>
      <c r="H82" s="352"/>
      <c r="I82" s="352"/>
      <c r="J82" s="252"/>
      <c r="K82" s="364" t="s">
        <v>1868</v>
      </c>
    </row>
    <row r="83" spans="1:11" ht="16.5" hidden="1">
      <c r="A83" s="239" t="s">
        <v>1870</v>
      </c>
      <c r="B83" s="352"/>
      <c r="C83" s="352"/>
      <c r="D83" s="352"/>
      <c r="E83" s="352"/>
      <c r="F83" s="352"/>
      <c r="G83" s="352"/>
      <c r="H83" s="352"/>
      <c r="I83" s="352"/>
      <c r="J83" s="252"/>
      <c r="K83" s="364" t="s">
        <v>1868</v>
      </c>
    </row>
    <row r="84" spans="1:11" ht="16.5" hidden="1">
      <c r="A84" s="239" t="s">
        <v>1871</v>
      </c>
      <c r="B84" s="352"/>
      <c r="C84" s="352"/>
      <c r="D84" s="352"/>
      <c r="E84" s="352"/>
      <c r="F84" s="352"/>
      <c r="G84" s="352"/>
      <c r="H84" s="352"/>
      <c r="I84" s="352"/>
      <c r="J84" s="252"/>
      <c r="K84" s="364" t="s">
        <v>1868</v>
      </c>
    </row>
    <row r="85" spans="1:11" ht="16.5">
      <c r="A85" s="239" t="s">
        <v>1426</v>
      </c>
      <c r="J85" s="252"/>
      <c r="K85" s="364" t="s">
        <v>1872</v>
      </c>
    </row>
    <row r="86" spans="1:11" ht="16.5">
      <c r="A86" s="239" t="s">
        <v>1873</v>
      </c>
      <c r="J86" s="252"/>
      <c r="K86" s="364" t="s">
        <v>1872</v>
      </c>
    </row>
    <row r="87" spans="1:11" ht="16.5">
      <c r="A87" s="239" t="s">
        <v>1428</v>
      </c>
      <c r="J87" s="252"/>
      <c r="K87" s="364" t="s">
        <v>1874</v>
      </c>
    </row>
    <row r="88" spans="1:11" ht="33.75" hidden="1" customHeight="1">
      <c r="A88" s="508" t="s">
        <v>1875</v>
      </c>
      <c r="B88" s="508"/>
      <c r="C88" s="508"/>
      <c r="D88" s="508"/>
      <c r="E88" s="508"/>
      <c r="F88" s="508"/>
      <c r="G88" s="508"/>
      <c r="H88" s="508"/>
      <c r="I88" s="508"/>
      <c r="J88" s="252"/>
      <c r="K88" s="364" t="s">
        <v>1876</v>
      </c>
    </row>
    <row r="89" spans="1:11" ht="16.5" hidden="1">
      <c r="A89" s="239" t="s">
        <v>1877</v>
      </c>
      <c r="J89" s="252"/>
      <c r="K89" s="364" t="s">
        <v>1876</v>
      </c>
    </row>
    <row r="90" spans="1:11" ht="16.5" hidden="1">
      <c r="A90" s="509" t="s">
        <v>1878</v>
      </c>
      <c r="B90" s="509"/>
      <c r="C90" s="509"/>
      <c r="D90" s="509"/>
      <c r="E90" s="509"/>
      <c r="F90" s="509"/>
      <c r="G90" s="509"/>
      <c r="H90" s="509"/>
      <c r="I90" s="509"/>
      <c r="J90" s="252"/>
      <c r="K90" s="364" t="s">
        <v>1879</v>
      </c>
    </row>
    <row r="91" spans="1:11" ht="16.5" hidden="1">
      <c r="A91" s="239" t="s">
        <v>1880</v>
      </c>
      <c r="B91" s="239"/>
      <c r="C91" s="239"/>
      <c r="D91" s="239"/>
      <c r="E91" s="239"/>
      <c r="F91" s="239"/>
      <c r="G91" s="239"/>
      <c r="H91" s="239"/>
      <c r="I91" s="239"/>
      <c r="J91" s="252"/>
      <c r="K91" s="364" t="s">
        <v>1879</v>
      </c>
    </row>
    <row r="92" spans="1:11" ht="34.5" hidden="1" customHeight="1">
      <c r="A92" s="508" t="s">
        <v>1881</v>
      </c>
      <c r="B92" s="508"/>
      <c r="C92" s="508"/>
      <c r="D92" s="508"/>
      <c r="E92" s="508"/>
      <c r="F92" s="508"/>
      <c r="G92" s="508"/>
      <c r="H92" s="508"/>
      <c r="I92" s="508"/>
      <c r="J92" s="252"/>
      <c r="K92" s="364" t="s">
        <v>1879</v>
      </c>
    </row>
    <row r="93" spans="1:11" ht="34.5" hidden="1" customHeight="1">
      <c r="A93" s="239" t="s">
        <v>1882</v>
      </c>
      <c r="B93" s="353"/>
      <c r="C93" s="353"/>
      <c r="D93" s="353"/>
      <c r="E93" s="353"/>
      <c r="F93" s="353"/>
      <c r="G93" s="353"/>
      <c r="H93" s="353"/>
      <c r="I93" s="353"/>
      <c r="J93" s="252"/>
      <c r="K93" s="364" t="s">
        <v>1879</v>
      </c>
    </row>
    <row r="94" spans="1:11" ht="16.5" hidden="1">
      <c r="A94" s="508" t="s">
        <v>1883</v>
      </c>
      <c r="B94" s="508"/>
      <c r="C94" s="508"/>
      <c r="D94" s="508"/>
      <c r="E94" s="508"/>
      <c r="F94" s="508"/>
      <c r="G94" s="508"/>
      <c r="H94" s="508"/>
      <c r="I94" s="508"/>
      <c r="J94" s="252"/>
      <c r="K94" s="364" t="s">
        <v>1884</v>
      </c>
    </row>
    <row r="95" spans="1:11" ht="16.5" hidden="1">
      <c r="A95" s="239" t="s">
        <v>1885</v>
      </c>
      <c r="B95" s="353"/>
      <c r="C95" s="353"/>
      <c r="D95" s="353"/>
      <c r="E95" s="353"/>
      <c r="F95" s="353"/>
      <c r="G95" s="353"/>
      <c r="H95" s="353"/>
      <c r="I95" s="353"/>
      <c r="J95" s="252"/>
      <c r="K95" s="364" t="s">
        <v>1886</v>
      </c>
    </row>
    <row r="96" spans="1:11" ht="16.5" hidden="1">
      <c r="A96" s="239" t="s">
        <v>1887</v>
      </c>
      <c r="B96" s="353"/>
      <c r="C96" s="353"/>
      <c r="D96" s="353"/>
      <c r="E96" s="353"/>
      <c r="F96" s="353"/>
      <c r="G96" s="353"/>
      <c r="H96" s="353"/>
      <c r="I96" s="353"/>
      <c r="J96" s="252"/>
      <c r="K96" s="364" t="s">
        <v>1888</v>
      </c>
    </row>
    <row r="97" spans="1:11" ht="33.75" hidden="1" customHeight="1">
      <c r="A97" s="508" t="s">
        <v>1889</v>
      </c>
      <c r="B97" s="508"/>
      <c r="C97" s="508"/>
      <c r="D97" s="508"/>
      <c r="E97" s="508"/>
      <c r="F97" s="508"/>
      <c r="G97" s="508"/>
      <c r="H97" s="508"/>
      <c r="I97" s="508"/>
      <c r="J97" s="252"/>
      <c r="K97" s="364" t="s">
        <v>1890</v>
      </c>
    </row>
    <row r="98" spans="1:11" ht="33.75" hidden="1" customHeight="1">
      <c r="A98" s="239" t="s">
        <v>1891</v>
      </c>
      <c r="B98" s="353"/>
      <c r="C98" s="353"/>
      <c r="D98" s="353"/>
      <c r="E98" s="353"/>
      <c r="F98" s="353"/>
      <c r="G98" s="353"/>
      <c r="H98" s="353"/>
      <c r="I98" s="353"/>
      <c r="J98" s="252"/>
      <c r="K98" s="364" t="s">
        <v>1890</v>
      </c>
    </row>
    <row r="99" spans="1:11" ht="16.5" hidden="1">
      <c r="A99" s="509" t="s">
        <v>1892</v>
      </c>
      <c r="B99" s="509"/>
      <c r="C99" s="509"/>
      <c r="D99" s="509"/>
      <c r="E99" s="509"/>
      <c r="F99" s="509"/>
      <c r="G99" s="509"/>
      <c r="H99" s="509"/>
      <c r="I99" s="509"/>
      <c r="J99" s="252"/>
      <c r="K99" s="364" t="s">
        <v>1893</v>
      </c>
    </row>
    <row r="100" spans="1:11" ht="16.5" hidden="1">
      <c r="A100" s="239" t="s">
        <v>1894</v>
      </c>
      <c r="B100" s="239"/>
      <c r="C100" s="239"/>
      <c r="D100" s="239"/>
      <c r="E100" s="239"/>
      <c r="F100" s="239"/>
      <c r="G100" s="239"/>
      <c r="H100" s="239"/>
      <c r="I100" s="239"/>
      <c r="J100" s="252"/>
      <c r="K100" s="364" t="s">
        <v>1893</v>
      </c>
    </row>
    <row r="101" spans="1:11" ht="16.5" hidden="1">
      <c r="A101" s="239" t="s">
        <v>1895</v>
      </c>
      <c r="B101" s="239"/>
      <c r="C101" s="239"/>
      <c r="D101" s="239"/>
      <c r="E101" s="239"/>
      <c r="F101" s="239"/>
      <c r="G101" s="239"/>
      <c r="H101" s="239"/>
      <c r="I101" s="239"/>
      <c r="J101" s="252"/>
      <c r="K101" s="364" t="s">
        <v>1896</v>
      </c>
    </row>
    <row r="102" spans="1:11" ht="33.75" hidden="1" customHeight="1">
      <c r="A102" s="508" t="s">
        <v>1395</v>
      </c>
      <c r="B102" s="473"/>
      <c r="C102" s="473"/>
      <c r="D102" s="473"/>
      <c r="E102" s="473"/>
      <c r="F102" s="473"/>
      <c r="G102" s="473"/>
      <c r="H102" s="473"/>
      <c r="I102" s="473"/>
      <c r="J102" s="252"/>
      <c r="K102" s="364" t="s">
        <v>1897</v>
      </c>
    </row>
    <row r="103" spans="1:11" ht="18.75" hidden="1" customHeight="1">
      <c r="A103" s="266" t="s">
        <v>1346</v>
      </c>
      <c r="J103" s="252"/>
      <c r="K103" s="364" t="s">
        <v>1897</v>
      </c>
    </row>
    <row r="104" spans="1:11" ht="18.75" customHeight="1">
      <c r="A104" s="266" t="s">
        <v>1196</v>
      </c>
      <c r="J104" s="252"/>
      <c r="K104" s="255"/>
    </row>
    <row r="105" spans="1:11" ht="21.75" customHeight="1">
      <c r="A105" s="224" t="s">
        <v>1224</v>
      </c>
      <c r="J105" s="252"/>
      <c r="K105" s="255"/>
    </row>
    <row r="106" spans="1:11" ht="21.75" customHeight="1">
      <c r="A106" s="266" t="s">
        <v>1371</v>
      </c>
      <c r="J106" s="252"/>
      <c r="K106" s="255"/>
    </row>
    <row r="107" spans="1:11" ht="21.75" customHeight="1">
      <c r="A107" s="224" t="s">
        <v>1240</v>
      </c>
      <c r="J107" s="252"/>
      <c r="K107" s="255"/>
    </row>
    <row r="108" spans="1:11" ht="21.75" customHeight="1">
      <c r="A108" s="224" t="s">
        <v>1241</v>
      </c>
      <c r="J108" s="252"/>
      <c r="K108" s="255"/>
    </row>
    <row r="109" spans="1:11" ht="21.75" customHeight="1">
      <c r="A109" s="266" t="s">
        <v>1357</v>
      </c>
      <c r="J109" s="252"/>
      <c r="K109" s="255"/>
    </row>
    <row r="110" spans="1:11" ht="21.75" customHeight="1">
      <c r="A110" s="266" t="s">
        <v>1358</v>
      </c>
      <c r="J110" s="252"/>
      <c r="K110" s="255"/>
    </row>
    <row r="111" spans="1:11" ht="16.5">
      <c r="A111" s="266"/>
      <c r="J111" s="252"/>
      <c r="K111" s="255"/>
    </row>
    <row r="112" spans="1:11" s="260" customFormat="1" ht="16.5" customHeight="1">
      <c r="A112" s="505" t="s">
        <v>1214</v>
      </c>
      <c r="B112" s="505"/>
      <c r="C112" s="505"/>
      <c r="D112" s="505"/>
      <c r="E112" s="505"/>
      <c r="F112" s="505"/>
      <c r="G112" s="505"/>
      <c r="H112" s="505"/>
      <c r="I112" s="505"/>
      <c r="J112" s="258"/>
      <c r="K112" s="259"/>
    </row>
    <row r="113" spans="1:11" s="260" customFormat="1" ht="15">
      <c r="A113" s="505" t="s">
        <v>1170</v>
      </c>
      <c r="B113" s="505"/>
      <c r="C113" s="505"/>
      <c r="D113" s="505"/>
      <c r="E113" s="507" t="s">
        <v>872</v>
      </c>
      <c r="F113" s="507"/>
      <c r="G113" s="505" t="s">
        <v>1215</v>
      </c>
      <c r="H113" s="505"/>
      <c r="I113" s="505"/>
      <c r="J113" s="258"/>
      <c r="K113" s="259"/>
    </row>
    <row r="114" spans="1:11" ht="15">
      <c r="J114" s="252"/>
      <c r="K114" s="255"/>
    </row>
    <row r="115" spans="1:11" ht="15">
      <c r="J115" s="252"/>
      <c r="K115" s="255"/>
    </row>
    <row r="116" spans="1:11" ht="15">
      <c r="J116" s="252"/>
      <c r="K116" s="255"/>
    </row>
    <row r="117" spans="1:11" ht="15">
      <c r="J117" s="252"/>
      <c r="K117" s="255"/>
    </row>
    <row r="118" spans="1:11" s="273" customFormat="1" ht="20.25" customHeight="1">
      <c r="A118" s="480" t="str">
        <f>TPCDT</f>
        <v>..........................................</v>
      </c>
      <c r="B118" s="480"/>
      <c r="C118" s="480"/>
      <c r="D118" s="480"/>
      <c r="E118" s="480" t="str">
        <f>TPTVGS</f>
        <v>..........................................</v>
      </c>
      <c r="F118" s="480"/>
      <c r="G118" s="480" t="str">
        <f>DVTC</f>
        <v>Lê Văn Thái</v>
      </c>
      <c r="H118" s="480"/>
      <c r="I118" s="480"/>
      <c r="J118" s="271"/>
      <c r="K118" s="272"/>
    </row>
    <row r="119" spans="1:11" ht="15">
      <c r="J119" s="252"/>
      <c r="K119" s="255"/>
    </row>
    <row r="120" spans="1:11" ht="15">
      <c r="J120" s="252"/>
      <c r="K120" s="255"/>
    </row>
    <row r="121" spans="1:11" ht="15">
      <c r="J121" s="252"/>
      <c r="K121" s="255"/>
    </row>
    <row r="122" spans="1:11" ht="15">
      <c r="J122" s="252"/>
      <c r="K122" s="255"/>
    </row>
    <row r="123" spans="1:11" ht="15">
      <c r="J123" s="252"/>
      <c r="K123" s="255"/>
    </row>
    <row r="124" spans="1:11" ht="15">
      <c r="J124" s="252"/>
      <c r="K124" s="255"/>
    </row>
    <row r="125" spans="1:11" ht="15">
      <c r="J125" s="252"/>
      <c r="K125" s="255"/>
    </row>
    <row r="126" spans="1:11" ht="15">
      <c r="J126" s="252"/>
      <c r="K126" s="255"/>
    </row>
    <row r="127" spans="1:11" ht="15">
      <c r="J127" s="252"/>
      <c r="K127" s="255"/>
    </row>
    <row r="128" spans="1:11" ht="15">
      <c r="J128" s="252"/>
      <c r="K128" s="255"/>
    </row>
    <row r="129" spans="10:11" ht="15">
      <c r="J129" s="252"/>
      <c r="K129" s="255"/>
    </row>
    <row r="130" spans="10:11" ht="15">
      <c r="J130" s="252"/>
      <c r="K130" s="255"/>
    </row>
    <row r="131" spans="10:11" ht="15">
      <c r="J131" s="252"/>
      <c r="K131" s="255"/>
    </row>
    <row r="132" spans="10:11" ht="15">
      <c r="J132" s="252"/>
      <c r="K132" s="255"/>
    </row>
    <row r="133" spans="10:11" ht="15">
      <c r="J133" s="252"/>
      <c r="K133" s="255"/>
    </row>
    <row r="134" spans="10:11" ht="15">
      <c r="J134" s="252"/>
      <c r="K134" s="255"/>
    </row>
    <row r="135" spans="10:11" ht="15">
      <c r="J135" s="252"/>
      <c r="K135" s="255"/>
    </row>
    <row r="136" spans="10:11" ht="15">
      <c r="J136" s="252"/>
      <c r="K136" s="255"/>
    </row>
  </sheetData>
  <autoFilter ref="K1:K136">
    <filterColumn colId="0">
      <filters blank="1">
        <filter val="Công tác trắc địa"/>
        <filter val="Đào móng"/>
      </filters>
    </filterColumn>
  </autoFilter>
  <mergeCells count="45">
    <mergeCell ref="E5:I5"/>
    <mergeCell ref="A2:C2"/>
    <mergeCell ref="E2:I2"/>
    <mergeCell ref="A3:C3"/>
    <mergeCell ref="E3:I3"/>
    <mergeCell ref="A4:C4"/>
    <mergeCell ref="F43:I43"/>
    <mergeCell ref="E27:H27"/>
    <mergeCell ref="E32:H32"/>
    <mergeCell ref="A7:H7"/>
    <mergeCell ref="A8:H8"/>
    <mergeCell ref="A40:D40"/>
    <mergeCell ref="E40:I40"/>
    <mergeCell ref="A41:D41"/>
    <mergeCell ref="E41:I41"/>
    <mergeCell ref="A42:D42"/>
    <mergeCell ref="A18:I18"/>
    <mergeCell ref="A19:I19"/>
    <mergeCell ref="A20:I20"/>
    <mergeCell ref="E26:H26"/>
    <mergeCell ref="G118:I118"/>
    <mergeCell ref="A45:I45"/>
    <mergeCell ref="A46:I46"/>
    <mergeCell ref="A54:I54"/>
    <mergeCell ref="A73:I73"/>
    <mergeCell ref="A74:I74"/>
    <mergeCell ref="A75:I75"/>
    <mergeCell ref="A102:I102"/>
    <mergeCell ref="A112:I112"/>
    <mergeCell ref="A113:D113"/>
    <mergeCell ref="E113:F113"/>
    <mergeCell ref="G113:I113"/>
    <mergeCell ref="E118:F118"/>
    <mergeCell ref="A118:D118"/>
    <mergeCell ref="A77:I77"/>
    <mergeCell ref="A78:I78"/>
    <mergeCell ref="A92:I92"/>
    <mergeCell ref="A94:I94"/>
    <mergeCell ref="A97:I97"/>
    <mergeCell ref="A99:I99"/>
    <mergeCell ref="A79:I79"/>
    <mergeCell ref="A80:I80"/>
    <mergeCell ref="A81:I81"/>
    <mergeCell ref="A88:I88"/>
    <mergeCell ref="A90:I90"/>
  </mergeCells>
  <pageMargins left="0.7" right="0.67" top="0.75" bottom="0.75" header="0.3" footer="0.3"/>
  <pageSetup paperSize="9" scale="99" orientation="portrait" r:id="rId1"/>
  <rowBreaks count="2" manualBreakCount="2">
    <brk id="37" max="8" man="1"/>
    <brk id="39" max="8"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T110"/>
  <sheetViews>
    <sheetView view="pageBreakPreview" zoomScaleNormal="100" zoomScaleSheetLayoutView="100" workbookViewId="0">
      <pane ySplit="1" topLeftCell="A2" activePane="bottomLeft" state="frozen"/>
      <selection activeCell="J7" sqref="J7"/>
      <selection pane="bottomLeft" activeCell="P7" sqref="P7"/>
    </sheetView>
  </sheetViews>
  <sheetFormatPr defaultRowHeight="14.25"/>
  <cols>
    <col min="1" max="1" width="6.25" customWidth="1"/>
    <col min="5" max="5" width="9" customWidth="1"/>
    <col min="7" max="8" width="10.5" customWidth="1"/>
    <col min="10" max="10" width="0" hidden="1" customWidth="1"/>
  </cols>
  <sheetData>
    <row r="1" spans="1:15" s="315" customFormat="1" ht="28.5" customHeight="1">
      <c r="D1" s="349" t="s">
        <v>1779</v>
      </c>
      <c r="E1" s="349">
        <v>1</v>
      </c>
      <c r="K1" s="296"/>
      <c r="L1" s="296"/>
      <c r="M1" s="303"/>
      <c r="N1" s="303"/>
      <c r="O1" s="303"/>
    </row>
    <row r="2" spans="1:15" ht="16.5">
      <c r="A2" s="478" t="s">
        <v>1396</v>
      </c>
      <c r="B2" s="478"/>
      <c r="C2" s="478"/>
      <c r="D2" s="220"/>
      <c r="E2" s="476" t="s">
        <v>1174</v>
      </c>
      <c r="F2" s="476"/>
      <c r="G2" s="476"/>
      <c r="H2" s="476"/>
      <c r="I2" s="476"/>
      <c r="J2" s="284"/>
    </row>
    <row r="3" spans="1:15" ht="18.75">
      <c r="A3" s="478" t="s">
        <v>1397</v>
      </c>
      <c r="B3" s="478"/>
      <c r="C3" s="478"/>
      <c r="D3" s="220"/>
      <c r="E3" s="477" t="s">
        <v>1176</v>
      </c>
      <c r="F3" s="477"/>
      <c r="G3" s="477"/>
      <c r="H3" s="477"/>
      <c r="I3" s="477"/>
      <c r="J3" s="284"/>
    </row>
    <row r="4" spans="1:15" ht="16.5">
      <c r="A4" s="478" t="s">
        <v>1398</v>
      </c>
      <c r="B4" s="478"/>
      <c r="C4" s="478"/>
      <c r="J4" s="284"/>
    </row>
    <row r="5" spans="1:15" ht="16.5">
      <c r="A5" s="280"/>
      <c r="B5" s="274"/>
      <c r="E5" s="492" t="str">
        <f>"Quan Hóa , ngày "&amp;VLOOKUP($J$48,CGĐ,9,0)&amp;" tháng "&amp;VLOOKUP($J$48,CGĐ,10,0)&amp;" năm 2014"</f>
        <v>Quan Hóa , ngày 23 tháng 09 năm 2014</v>
      </c>
      <c r="F5" s="492"/>
      <c r="G5" s="492"/>
      <c r="H5" s="492"/>
      <c r="I5" s="492"/>
      <c r="J5" s="284"/>
    </row>
    <row r="6" spans="1:15" ht="6.75" customHeight="1">
      <c r="A6" s="280"/>
      <c r="J6" s="284"/>
    </row>
    <row r="7" spans="1:15" ht="18.75">
      <c r="A7" s="470" t="str">
        <f>"PHIẾU YÊU CẦU SỐ: "&amp;VLOOKUP($J$48,CGĐ,7,0)&amp;"/PYC"</f>
        <v>PHIẾU YÊU CẦU SỐ: 1/HTMONG/PYC</v>
      </c>
      <c r="B7" s="470"/>
      <c r="C7" s="470"/>
      <c r="D7" s="470"/>
      <c r="E7" s="470"/>
      <c r="F7" s="470"/>
      <c r="G7" s="470"/>
      <c r="H7" s="470"/>
      <c r="J7" s="309">
        <f>$E$1</f>
        <v>1</v>
      </c>
    </row>
    <row r="8" spans="1:15" ht="17.25">
      <c r="A8" s="471" t="str">
        <f>"("&amp;VLOOKUP($J$48,CGĐ,4,0)&amp;")"</f>
        <v>(Nghiệm thu hoàn thành phần móng)</v>
      </c>
      <c r="B8" s="471"/>
      <c r="C8" s="471"/>
      <c r="D8" s="471"/>
      <c r="E8" s="471"/>
      <c r="F8" s="471"/>
      <c r="G8" s="471"/>
      <c r="H8" s="471"/>
      <c r="J8" s="284"/>
    </row>
    <row r="9" spans="1:15" ht="7.5" customHeight="1">
      <c r="A9" s="226"/>
      <c r="B9" s="220"/>
      <c r="J9" s="284"/>
    </row>
    <row r="10" spans="1:15" ht="16.5">
      <c r="A10" s="224" t="s">
        <v>1179</v>
      </c>
      <c r="B10" s="274"/>
      <c r="J10" s="284"/>
    </row>
    <row r="11" spans="1:15" ht="16.5">
      <c r="A11" s="224" t="s">
        <v>1412</v>
      </c>
      <c r="B11" s="274"/>
      <c r="J11" s="284"/>
    </row>
    <row r="12" spans="1:15" ht="16.5">
      <c r="A12" s="224" t="s">
        <v>1399</v>
      </c>
      <c r="B12" s="220"/>
      <c r="J12" s="284"/>
    </row>
    <row r="13" spans="1:15" ht="16.5">
      <c r="A13" s="224" t="s">
        <v>1400</v>
      </c>
      <c r="B13" s="220"/>
      <c r="J13" s="284"/>
    </row>
    <row r="14" spans="1:15" ht="8.25" customHeight="1">
      <c r="A14" s="274"/>
      <c r="B14" s="220"/>
      <c r="J14" s="284"/>
    </row>
    <row r="15" spans="1:15" ht="16.5">
      <c r="A15" s="224" t="s">
        <v>1401</v>
      </c>
      <c r="B15" s="220"/>
      <c r="C15" s="274" t="s">
        <v>1402</v>
      </c>
      <c r="J15" s="284"/>
    </row>
    <row r="16" spans="1:15" ht="16.5">
      <c r="A16" s="220"/>
      <c r="B16" s="220"/>
      <c r="C16" s="274" t="s">
        <v>1403</v>
      </c>
      <c r="J16" s="284"/>
    </row>
    <row r="17" spans="1:11" ht="6.75" customHeight="1">
      <c r="A17" s="277"/>
      <c r="B17" s="220"/>
      <c r="J17" s="284"/>
    </row>
    <row r="18" spans="1:11" ht="49.5" customHeight="1">
      <c r="A18" s="473" t="s">
        <v>1420</v>
      </c>
      <c r="B18" s="473"/>
      <c r="C18" s="473"/>
      <c r="D18" s="473"/>
      <c r="E18" s="473"/>
      <c r="F18" s="473"/>
      <c r="G18" s="473"/>
      <c r="H18" s="473"/>
      <c r="I18" s="473"/>
      <c r="J18" s="284"/>
      <c r="K18" s="282"/>
    </row>
    <row r="19" spans="1:11" ht="16.5">
      <c r="A19" s="473" t="s">
        <v>1414</v>
      </c>
      <c r="B19" s="473"/>
      <c r="C19" s="473"/>
      <c r="D19" s="473"/>
      <c r="E19" s="473"/>
      <c r="F19" s="473"/>
      <c r="G19" s="473"/>
      <c r="H19" s="473"/>
      <c r="I19" s="473"/>
      <c r="J19" s="284"/>
      <c r="K19" s="282"/>
    </row>
    <row r="20" spans="1:11" ht="35.25" customHeight="1">
      <c r="A20" s="485" t="str">
        <f>"    "&amp;VLOOKUP($J$48,CGĐ,4,0)&amp;", "&amp;VITRI&amp;", "&amp;DIEMTDC</f>
        <v xml:space="preserve">    Nghiệm thu hoàn thành phần móng, Nhà tiểu học 3 phòng, Điểm TĐC Pom Chốn</v>
      </c>
      <c r="B20" s="485"/>
      <c r="C20" s="485"/>
      <c r="D20" s="485"/>
      <c r="E20" s="485"/>
      <c r="F20" s="485"/>
      <c r="G20" s="485"/>
      <c r="H20" s="485"/>
      <c r="I20" s="485"/>
      <c r="J20" s="284"/>
    </row>
    <row r="21" spans="1:11" ht="18.75" customHeight="1">
      <c r="A21" s="274" t="s">
        <v>1415</v>
      </c>
      <c r="B21" s="220"/>
      <c r="J21" s="284"/>
    </row>
    <row r="22" spans="1:11" ht="18.75" customHeight="1">
      <c r="A22" s="274" t="str">
        <f>"     Thời gian: "&amp;VLOOKUP($J$48,CGĐ,12,0)&amp;", ngày "&amp;VLOOKUP($J$48,CGĐ,14,0)&amp;" tháng "&amp;VLOOKUP($J$48,CGĐ,15,0)&amp;" năm 2014"</f>
        <v xml:space="preserve">     Thời gian: 10 giờ 00, ngày 24 tháng 09 năm 2014</v>
      </c>
      <c r="B22" s="220"/>
      <c r="J22" s="284"/>
    </row>
    <row r="23" spans="1:11" ht="18.75" customHeight="1">
      <c r="A23" s="274" t="str">
        <f>"     Tại lô nhà "&amp;VITRI&amp;", "&amp;DIEMTDC</f>
        <v xml:space="preserve">     Tại lô nhà Nhà tiểu học 3 phòng, Điểm TĐC Pom Chốn</v>
      </c>
      <c r="B23" s="220"/>
      <c r="J23" s="284"/>
    </row>
    <row r="24" spans="1:11" ht="16.5">
      <c r="A24" s="281" t="s">
        <v>1404</v>
      </c>
      <c r="B24" s="220"/>
      <c r="J24" s="284"/>
    </row>
    <row r="25" spans="1:11" ht="16.5">
      <c r="A25" s="274"/>
      <c r="B25" s="220"/>
      <c r="J25" s="284"/>
    </row>
    <row r="26" spans="1:11" ht="16.5">
      <c r="A26" s="278" t="s">
        <v>1405</v>
      </c>
      <c r="E26" s="478" t="s">
        <v>1408</v>
      </c>
      <c r="F26" s="478"/>
      <c r="G26" s="478"/>
      <c r="H26" s="478"/>
      <c r="J26" s="284"/>
    </row>
    <row r="27" spans="1:11" ht="16.5">
      <c r="A27" s="279" t="s">
        <v>1406</v>
      </c>
      <c r="E27" s="478" t="s">
        <v>1409</v>
      </c>
      <c r="F27" s="478"/>
      <c r="G27" s="478"/>
      <c r="H27" s="478"/>
      <c r="J27" s="284"/>
    </row>
    <row r="28" spans="1:11" ht="16.5">
      <c r="A28" s="279" t="s">
        <v>1407</v>
      </c>
      <c r="B28" s="224"/>
      <c r="J28" s="284"/>
    </row>
    <row r="29" spans="1:11" ht="16.5">
      <c r="A29" s="232"/>
      <c r="B29" s="224"/>
      <c r="J29" s="284"/>
    </row>
    <row r="30" spans="1:11" ht="16.5">
      <c r="A30" s="232"/>
      <c r="B30" s="224"/>
      <c r="J30" s="284"/>
    </row>
    <row r="31" spans="1:11" ht="16.5">
      <c r="A31" s="232"/>
      <c r="B31" s="224"/>
      <c r="J31" s="284"/>
    </row>
    <row r="32" spans="1:11" ht="14.25" customHeight="1">
      <c r="A32" s="232"/>
      <c r="E32" s="478" t="s">
        <v>1410</v>
      </c>
      <c r="F32" s="478"/>
      <c r="G32" s="478"/>
      <c r="H32" s="478"/>
      <c r="J32" s="284"/>
    </row>
    <row r="33" spans="1:11" ht="16.5">
      <c r="A33" s="232"/>
      <c r="B33" s="224"/>
      <c r="J33" s="284"/>
    </row>
    <row r="34" spans="1:11" ht="16.5">
      <c r="A34" s="224" t="s">
        <v>1411</v>
      </c>
      <c r="B34" s="220"/>
      <c r="J34" s="284"/>
    </row>
    <row r="35" spans="1:11" ht="21" customHeight="1">
      <c r="A35" t="s">
        <v>1413</v>
      </c>
      <c r="J35" s="284"/>
    </row>
    <row r="36" spans="1:11" ht="21" customHeight="1">
      <c r="A36" t="s">
        <v>1413</v>
      </c>
      <c r="J36" s="284"/>
    </row>
    <row r="37" spans="1:11" ht="21" customHeight="1">
      <c r="A37" t="s">
        <v>1413</v>
      </c>
      <c r="J37" s="284"/>
    </row>
    <row r="38" spans="1:11">
      <c r="J38" s="284"/>
    </row>
    <row r="39" spans="1:11">
      <c r="J39" s="284"/>
    </row>
    <row r="40" spans="1:11" s="220" customFormat="1" ht="16.5">
      <c r="A40" s="482" t="s">
        <v>1173</v>
      </c>
      <c r="B40" s="482"/>
      <c r="C40" s="482"/>
      <c r="D40" s="482"/>
      <c r="E40" s="478" t="s">
        <v>1174</v>
      </c>
      <c r="F40" s="478"/>
      <c r="G40" s="478"/>
      <c r="H40" s="478"/>
      <c r="I40" s="478"/>
      <c r="J40" s="252"/>
      <c r="K40" s="256"/>
    </row>
    <row r="41" spans="1:11" s="220" customFormat="1" ht="18.75">
      <c r="A41" s="482" t="s">
        <v>1175</v>
      </c>
      <c r="B41" s="482"/>
      <c r="C41" s="482"/>
      <c r="D41" s="482"/>
      <c r="E41" s="470" t="s">
        <v>1176</v>
      </c>
      <c r="F41" s="470"/>
      <c r="G41" s="470"/>
      <c r="H41" s="470"/>
      <c r="I41" s="470"/>
      <c r="J41" s="252"/>
      <c r="K41" s="256"/>
    </row>
    <row r="42" spans="1:11" s="220" customFormat="1" ht="16.5">
      <c r="A42" s="478" t="s">
        <v>1177</v>
      </c>
      <c r="B42" s="478"/>
      <c r="C42" s="478"/>
      <c r="D42" s="478"/>
      <c r="G42" s="281"/>
      <c r="J42" s="252"/>
      <c r="K42" s="256"/>
    </row>
    <row r="43" spans="1:11" s="220" customFormat="1" ht="18.75">
      <c r="A43" s="222"/>
      <c r="B43" s="222"/>
      <c r="F43" s="479" t="str">
        <f>"Quan Hóa , ngày "&amp;VLOOKUP($J$48,CGĐ,14,0)&amp;" tháng "&amp;VLOOKUP($J$48,CGĐ,15,0)&amp;" năm 2014"</f>
        <v>Quan Hóa , ngày 24 tháng 09 năm 2014</v>
      </c>
      <c r="G43" s="479"/>
      <c r="H43" s="479"/>
      <c r="I43" s="479"/>
      <c r="J43" s="253"/>
      <c r="K43" s="256"/>
    </row>
    <row r="44" spans="1:11" s="220" customFormat="1" ht="6.75" customHeight="1">
      <c r="A44" s="222"/>
      <c r="B44" s="222"/>
      <c r="F44" s="275"/>
      <c r="G44" s="275"/>
      <c r="H44" s="275"/>
      <c r="I44" s="275"/>
      <c r="J44" s="253"/>
      <c r="K44" s="256"/>
    </row>
    <row r="45" spans="1:11" s="220" customFormat="1" ht="19.5">
      <c r="A45" s="472" t="str">
        <f>"BIÊN BẢN SỐ: "&amp;VLOOKUP($J$48,CGĐ,8,0)&amp;"/CGĐ"</f>
        <v>BIÊN BẢN SỐ: 1/HTMONG/CGĐ</v>
      </c>
      <c r="B45" s="472"/>
      <c r="C45" s="472"/>
      <c r="D45" s="472"/>
      <c r="E45" s="472"/>
      <c r="F45" s="472"/>
      <c r="G45" s="472"/>
      <c r="H45" s="472"/>
      <c r="I45" s="472"/>
      <c r="J45" s="253"/>
      <c r="K45" s="256"/>
    </row>
    <row r="46" spans="1:11" s="220" customFormat="1" ht="41.25" customHeight="1">
      <c r="A46" s="512" t="s">
        <v>1468</v>
      </c>
      <c r="B46" s="512"/>
      <c r="C46" s="512"/>
      <c r="D46" s="512"/>
      <c r="E46" s="512"/>
      <c r="F46" s="512"/>
      <c r="G46" s="512"/>
      <c r="H46" s="512"/>
      <c r="I46" s="512"/>
      <c r="J46" s="252"/>
      <c r="K46" s="256"/>
    </row>
    <row r="47" spans="1:11" s="220" customFormat="1" ht="8.25" customHeight="1">
      <c r="A47" s="223"/>
      <c r="B47" s="223"/>
      <c r="J47" s="252"/>
      <c r="K47" s="256"/>
    </row>
    <row r="48" spans="1:11" s="220" customFormat="1" ht="21.75" customHeight="1">
      <c r="A48" s="224" t="s">
        <v>1179</v>
      </c>
      <c r="B48" s="224"/>
      <c r="D48" s="274"/>
      <c r="J48" s="252">
        <f>$E$1</f>
        <v>1</v>
      </c>
      <c r="K48" s="256"/>
    </row>
    <row r="49" spans="1:11" s="220" customFormat="1" ht="21.75" customHeight="1">
      <c r="A49" s="224" t="s">
        <v>1180</v>
      </c>
      <c r="B49" s="224"/>
      <c r="D49" s="274"/>
      <c r="J49" s="252"/>
      <c r="K49" s="256"/>
    </row>
    <row r="50" spans="1:11" s="220" customFormat="1" ht="21.75" customHeight="1">
      <c r="A50" s="224" t="s">
        <v>1181</v>
      </c>
      <c r="B50" s="224"/>
      <c r="J50" s="252"/>
      <c r="K50" s="256"/>
    </row>
    <row r="51" spans="1:11" s="220" customFormat="1" ht="21.75" customHeight="1">
      <c r="A51" s="224" t="s">
        <v>1182</v>
      </c>
      <c r="B51" s="224"/>
      <c r="J51" s="252"/>
      <c r="K51" s="256"/>
    </row>
    <row r="52" spans="1:11" s="220" customFormat="1" ht="8.25" customHeight="1">
      <c r="A52" s="224"/>
      <c r="B52" s="224"/>
      <c r="J52" s="252"/>
      <c r="K52" s="256"/>
    </row>
    <row r="53" spans="1:11" s="220" customFormat="1" ht="16.5">
      <c r="A53" s="224" t="s">
        <v>1183</v>
      </c>
      <c r="B53" s="224"/>
      <c r="J53" s="252"/>
      <c r="K53" s="256"/>
    </row>
    <row r="54" spans="1:11" s="220" customFormat="1" ht="32.25" customHeight="1">
      <c r="A54" s="473" t="str">
        <f>"- "&amp;VLOOKUP($J$48,CGĐ,4,0)&amp;", "&amp;VITRI&amp;", "&amp;DIEMTDC</f>
        <v>- Nghiệm thu hoàn thành phần móng, Nhà tiểu học 3 phòng, Điểm TĐC Pom Chốn</v>
      </c>
      <c r="B54" s="473"/>
      <c r="C54" s="473"/>
      <c r="D54" s="473"/>
      <c r="E54" s="473"/>
      <c r="F54" s="473"/>
      <c r="G54" s="473"/>
      <c r="H54" s="473"/>
      <c r="I54" s="473"/>
      <c r="J54" s="253"/>
      <c r="K54" s="256"/>
    </row>
    <row r="55" spans="1:11" s="220" customFormat="1" ht="20.25" customHeight="1">
      <c r="A55" s="224" t="s">
        <v>1185</v>
      </c>
      <c r="B55" s="224"/>
      <c r="J55" s="252"/>
      <c r="K55" s="256"/>
    </row>
    <row r="56" spans="1:11" s="220" customFormat="1" ht="23.25" customHeight="1">
      <c r="A56" s="226" t="s">
        <v>1186</v>
      </c>
      <c r="B56" s="226"/>
      <c r="J56" s="252"/>
      <c r="K56" s="256"/>
    </row>
    <row r="57" spans="1:11" s="220" customFormat="1" ht="22.5" customHeight="1">
      <c r="A57" s="239" t="s">
        <v>1359</v>
      </c>
      <c r="B57" s="274" t="str">
        <f>TPCDT</f>
        <v>..........................................</v>
      </c>
      <c r="F57" s="274" t="str">
        <f>"Chức vụ: "&amp;CVCDT</f>
        <v>Chức vụ: .................................</v>
      </c>
      <c r="J57" s="252"/>
      <c r="K57" s="256"/>
    </row>
    <row r="58" spans="1:11" s="220" customFormat="1" ht="22.5" customHeight="1">
      <c r="A58" s="274" t="s">
        <v>1187</v>
      </c>
      <c r="B58" s="274"/>
      <c r="F58" s="351" t="s">
        <v>1188</v>
      </c>
      <c r="J58" s="252"/>
      <c r="K58" s="256"/>
    </row>
    <row r="59" spans="1:11" s="220" customFormat="1" ht="22.5" customHeight="1">
      <c r="A59" s="226" t="s">
        <v>1189</v>
      </c>
      <c r="B59" s="226"/>
      <c r="J59" s="252"/>
      <c r="K59" s="256"/>
    </row>
    <row r="60" spans="1:11" s="220" customFormat="1" ht="21.75" customHeight="1">
      <c r="A60" s="370" t="s">
        <v>1360</v>
      </c>
      <c r="B60" s="369" t="s">
        <v>1757</v>
      </c>
      <c r="F60" s="369" t="s">
        <v>1903</v>
      </c>
      <c r="J60" s="283"/>
    </row>
    <row r="61" spans="1:11" s="220" customFormat="1" ht="21.75" customHeight="1">
      <c r="A61" s="370" t="s">
        <v>1360</v>
      </c>
      <c r="B61" s="369" t="s">
        <v>1902</v>
      </c>
      <c r="F61" s="369" t="s">
        <v>1903</v>
      </c>
      <c r="J61" s="283"/>
    </row>
    <row r="62" spans="1:11" s="220" customFormat="1" ht="22.5" customHeight="1">
      <c r="A62" s="226" t="s">
        <v>1190</v>
      </c>
      <c r="B62" s="226"/>
      <c r="J62" s="252"/>
      <c r="K62" s="256"/>
    </row>
    <row r="63" spans="1:11" s="220" customFormat="1" ht="22.5" customHeight="1">
      <c r="A63" s="370" t="s">
        <v>1359</v>
      </c>
      <c r="B63" s="369" t="s">
        <v>1410</v>
      </c>
      <c r="F63" s="369" t="s">
        <v>1898</v>
      </c>
      <c r="J63" s="252"/>
      <c r="K63" s="256"/>
    </row>
    <row r="64" spans="1:11" s="220" customFormat="1" ht="22.5" customHeight="1">
      <c r="A64" s="365" t="s">
        <v>1359</v>
      </c>
      <c r="B64" s="274" t="s">
        <v>873</v>
      </c>
      <c r="F64" s="274" t="s">
        <v>1191</v>
      </c>
      <c r="J64" s="252"/>
      <c r="K64" s="256"/>
    </row>
    <row r="65" spans="1:20" s="220" customFormat="1" ht="9" customHeight="1">
      <c r="A65" s="274"/>
      <c r="B65" s="274"/>
      <c r="F65" s="274"/>
      <c r="J65" s="252"/>
      <c r="K65" s="256"/>
      <c r="O65" s="370"/>
      <c r="P65" s="369"/>
      <c r="T65" s="369"/>
    </row>
    <row r="66" spans="1:20" s="220" customFormat="1" ht="20.25" customHeight="1">
      <c r="A66" s="224" t="s">
        <v>1192</v>
      </c>
      <c r="B66" s="224"/>
      <c r="J66" s="252"/>
      <c r="K66" s="256"/>
    </row>
    <row r="67" spans="1:20" s="220" customFormat="1" ht="23.25" customHeight="1">
      <c r="A67" s="274" t="str">
        <f>"Bắt đầu: "&amp;VLOOKUP($J$48,CGĐ,12,0)&amp;", ngày "&amp;VLOOKUP($J$48,CGĐ,14,0)&amp;" tháng "&amp;VLOOKUP($J$48,CGĐ,15,0)&amp;" năm 2014"</f>
        <v>Bắt đầu: 10 giờ 00, ngày 24 tháng 09 năm 2014</v>
      </c>
      <c r="B67" s="274"/>
      <c r="J67" s="253"/>
      <c r="K67" s="256"/>
    </row>
    <row r="68" spans="1:20" s="220" customFormat="1" ht="23.25" customHeight="1">
      <c r="A68" s="274" t="str">
        <f>"Kết thúc: "&amp;VLOOKUP($J$48,CGĐ,13,0)&amp;", ngày "&amp;VLOOKUP($J$48,CGĐ,14,0)&amp;" tháng "&amp;VLOOKUP($J$48,CGĐ,15,0)&amp;" năm 2014"</f>
        <v>Kết thúc: 11 giờ 00, ngày 24 tháng 09 năm 2014</v>
      </c>
      <c r="B68" s="274"/>
      <c r="J68" s="253"/>
      <c r="K68" s="256"/>
    </row>
    <row r="69" spans="1:20" s="220" customFormat="1" ht="23.25" customHeight="1">
      <c r="A69" s="274" t="str">
        <f>"Tại : "&amp;VITRI&amp;" - "&amp;DIEMTDC</f>
        <v>Tại : Nhà tiểu học 3 phòng - Điểm TĐC Pom Chốn</v>
      </c>
      <c r="B69" s="274"/>
      <c r="J69" s="253"/>
      <c r="K69" s="256"/>
    </row>
    <row r="70" spans="1:20" s="220" customFormat="1" ht="9" customHeight="1">
      <c r="A70" s="274"/>
      <c r="B70" s="274"/>
      <c r="J70" s="252"/>
      <c r="K70" s="256"/>
    </row>
    <row r="71" spans="1:20" ht="16.5">
      <c r="A71" s="224" t="s">
        <v>1421</v>
      </c>
      <c r="J71" s="252"/>
      <c r="K71" s="255"/>
    </row>
    <row r="72" spans="1:20" ht="16.5">
      <c r="A72" s="224" t="s">
        <v>1217</v>
      </c>
      <c r="J72" s="252"/>
      <c r="K72" s="255"/>
    </row>
    <row r="73" spans="1:20" ht="16.5">
      <c r="A73" s="274" t="str">
        <f>"- Phiếu yêu cầu nghiệm thu của nhà thầu thi công số : "&amp;VLOOKUP($J$48,CGĐ,7,0)&amp;"/PYC"</f>
        <v>- Phiếu yêu cầu nghiệm thu của nhà thầu thi công số : 1/HTMONG/PYC</v>
      </c>
      <c r="J73" s="252"/>
      <c r="K73" s="255"/>
    </row>
    <row r="74" spans="1:20" ht="33" customHeight="1">
      <c r="A74" s="473" t="s">
        <v>1422</v>
      </c>
      <c r="B74" s="473"/>
      <c r="C74" s="473"/>
      <c r="D74" s="473"/>
      <c r="E74" s="473"/>
      <c r="F74" s="473"/>
      <c r="G74" s="473"/>
      <c r="H74" s="473"/>
      <c r="I74" s="473"/>
      <c r="J74" s="252"/>
      <c r="K74" s="255"/>
    </row>
    <row r="75" spans="1:20" ht="32.25" customHeight="1">
      <c r="A75" s="473" t="s">
        <v>1184</v>
      </c>
      <c r="B75" s="473"/>
      <c r="C75" s="473"/>
      <c r="D75" s="473"/>
      <c r="E75" s="473"/>
      <c r="F75" s="473"/>
      <c r="G75" s="473"/>
      <c r="H75" s="473"/>
      <c r="I75" s="473"/>
      <c r="J75" s="252"/>
      <c r="K75" s="255"/>
    </row>
    <row r="76" spans="1:20" ht="16.5">
      <c r="A76" s="274" t="s">
        <v>1194</v>
      </c>
      <c r="J76" s="252"/>
      <c r="K76" s="255"/>
    </row>
    <row r="77" spans="1:20" ht="16.5">
      <c r="A77" s="274" t="s">
        <v>1423</v>
      </c>
      <c r="J77" s="252"/>
      <c r="K77" s="255"/>
    </row>
    <row r="78" spans="1:20" ht="16.5">
      <c r="A78" s="274" t="s">
        <v>1424</v>
      </c>
      <c r="J78" s="252"/>
      <c r="K78" s="255"/>
    </row>
    <row r="79" spans="1:20" ht="16.5">
      <c r="A79" s="274" t="s">
        <v>1425</v>
      </c>
      <c r="J79" s="252"/>
      <c r="K79" s="255"/>
    </row>
    <row r="80" spans="1:20" ht="16.5" hidden="1">
      <c r="A80" s="274" t="s">
        <v>1426</v>
      </c>
      <c r="J80" s="252"/>
      <c r="K80" s="255"/>
    </row>
    <row r="81" spans="1:11" ht="16.5" hidden="1">
      <c r="A81" s="274" t="s">
        <v>1427</v>
      </c>
      <c r="J81" s="252"/>
      <c r="K81" s="255"/>
    </row>
    <row r="82" spans="1:11" ht="16.5" hidden="1">
      <c r="A82" s="274" t="s">
        <v>1428</v>
      </c>
      <c r="J82" s="252"/>
      <c r="K82" s="255"/>
    </row>
    <row r="83" spans="1:11" ht="16.5">
      <c r="A83" s="304" t="s">
        <v>1429</v>
      </c>
      <c r="J83" s="252"/>
      <c r="K83" s="255"/>
    </row>
    <row r="84" spans="1:11" ht="16.5">
      <c r="A84" s="274" t="s">
        <v>1430</v>
      </c>
    </row>
    <row r="85" spans="1:11" ht="16.5">
      <c r="A85" s="274" t="s">
        <v>1266</v>
      </c>
    </row>
    <row r="86" spans="1:11" ht="8.25" customHeight="1">
      <c r="A86" s="274"/>
    </row>
    <row r="87" spans="1:11" ht="16.5">
      <c r="A87" s="224" t="s">
        <v>1431</v>
      </c>
    </row>
    <row r="89" spans="1:11" ht="16.5">
      <c r="A89" s="513" t="s">
        <v>0</v>
      </c>
      <c r="B89" s="513" t="s">
        <v>1432</v>
      </c>
      <c r="C89" s="513"/>
      <c r="D89" s="513"/>
      <c r="E89" s="513"/>
      <c r="F89" s="513"/>
      <c r="G89" s="513"/>
      <c r="H89" s="513" t="s">
        <v>1246</v>
      </c>
      <c r="I89" s="513"/>
    </row>
    <row r="90" spans="1:11" ht="33">
      <c r="A90" s="513"/>
      <c r="B90" s="513"/>
      <c r="C90" s="513"/>
      <c r="D90" s="513"/>
      <c r="E90" s="513"/>
      <c r="F90" s="513"/>
      <c r="G90" s="513"/>
      <c r="H90" s="305" t="s">
        <v>1203</v>
      </c>
      <c r="I90" s="305" t="s">
        <v>1204</v>
      </c>
    </row>
    <row r="91" spans="1:11" ht="16.5">
      <c r="A91" s="306">
        <v>1</v>
      </c>
      <c r="B91" s="510" t="s">
        <v>1433</v>
      </c>
      <c r="C91" s="510"/>
      <c r="D91" s="510"/>
      <c r="E91" s="510"/>
      <c r="F91" s="510"/>
      <c r="G91" s="510"/>
      <c r="H91" s="306"/>
      <c r="I91" s="305"/>
    </row>
    <row r="92" spans="1:11" ht="16.5">
      <c r="A92" s="306">
        <v>2</v>
      </c>
      <c r="B92" s="510" t="s">
        <v>1434</v>
      </c>
      <c r="C92" s="510"/>
      <c r="D92" s="510"/>
      <c r="E92" s="510"/>
      <c r="F92" s="510"/>
      <c r="G92" s="510"/>
      <c r="H92" s="306"/>
      <c r="I92" s="306"/>
    </row>
    <row r="93" spans="1:11" ht="16.5">
      <c r="A93" s="306">
        <v>3</v>
      </c>
      <c r="B93" s="510" t="s">
        <v>1435</v>
      </c>
      <c r="C93" s="510"/>
      <c r="D93" s="510"/>
      <c r="E93" s="510"/>
      <c r="F93" s="510"/>
      <c r="G93" s="510"/>
      <c r="H93" s="306"/>
      <c r="I93" s="306"/>
    </row>
    <row r="94" spans="1:11" ht="16.5">
      <c r="A94" s="306">
        <v>4</v>
      </c>
      <c r="B94" s="510" t="s">
        <v>1436</v>
      </c>
      <c r="C94" s="510"/>
      <c r="D94" s="510"/>
      <c r="E94" s="510"/>
      <c r="F94" s="510"/>
      <c r="G94" s="510"/>
      <c r="H94" s="306"/>
      <c r="I94" s="306"/>
    </row>
    <row r="95" spans="1:11" ht="16.5">
      <c r="A95" s="306">
        <v>5</v>
      </c>
      <c r="B95" s="510" t="s">
        <v>1437</v>
      </c>
      <c r="C95" s="510"/>
      <c r="D95" s="510"/>
      <c r="E95" s="510"/>
      <c r="F95" s="510"/>
      <c r="G95" s="510"/>
      <c r="H95" s="306"/>
      <c r="I95" s="306"/>
    </row>
    <row r="96" spans="1:11" ht="6.75" customHeight="1"/>
    <row r="97" spans="1:11" ht="16.5">
      <c r="A97" s="224" t="s">
        <v>1438</v>
      </c>
    </row>
    <row r="98" spans="1:11" ht="16.5">
      <c r="A98" s="307" t="s">
        <v>1439</v>
      </c>
    </row>
    <row r="99" spans="1:11" ht="6.75" customHeight="1">
      <c r="A99" s="308"/>
    </row>
    <row r="100" spans="1:11" ht="16.5">
      <c r="A100" s="224" t="s">
        <v>1241</v>
      </c>
    </row>
    <row r="101" spans="1:11" ht="32.25" customHeight="1">
      <c r="A101" s="511" t="s">
        <v>1440</v>
      </c>
      <c r="B101" s="511"/>
      <c r="C101" s="511"/>
      <c r="D101" s="511"/>
      <c r="E101" s="511"/>
      <c r="F101" s="511"/>
      <c r="G101" s="511"/>
      <c r="H101" s="511"/>
      <c r="I101" s="511"/>
    </row>
    <row r="102" spans="1:11" ht="16.5">
      <c r="A102" s="274" t="s">
        <v>1441</v>
      </c>
    </row>
    <row r="103" spans="1:11" ht="16.5">
      <c r="A103" s="274"/>
    </row>
    <row r="104" spans="1:11" s="260" customFormat="1" ht="16.5" customHeight="1">
      <c r="A104" s="505" t="s">
        <v>1214</v>
      </c>
      <c r="B104" s="505"/>
      <c r="C104" s="505"/>
      <c r="D104" s="505"/>
      <c r="E104" s="505"/>
      <c r="F104" s="505"/>
      <c r="G104" s="505"/>
      <c r="H104" s="505"/>
      <c r="I104" s="505"/>
      <c r="J104" s="258"/>
      <c r="K104" s="259"/>
    </row>
    <row r="105" spans="1:11" s="260" customFormat="1" ht="15">
      <c r="A105" s="505" t="s">
        <v>1170</v>
      </c>
      <c r="B105" s="505"/>
      <c r="C105" s="505"/>
      <c r="D105" s="505"/>
      <c r="E105" s="507" t="s">
        <v>872</v>
      </c>
      <c r="F105" s="507"/>
      <c r="G105" s="505" t="s">
        <v>1215</v>
      </c>
      <c r="H105" s="505"/>
      <c r="I105" s="505"/>
      <c r="J105" s="258"/>
      <c r="K105" s="259"/>
    </row>
    <row r="106" spans="1:11" ht="15">
      <c r="J106" s="252"/>
      <c r="K106" s="255"/>
    </row>
    <row r="107" spans="1:11" ht="15">
      <c r="J107" s="252"/>
      <c r="K107" s="255"/>
    </row>
    <row r="108" spans="1:11" ht="15">
      <c r="J108" s="252"/>
      <c r="K108" s="255"/>
    </row>
    <row r="109" spans="1:11" ht="15">
      <c r="J109" s="252"/>
      <c r="K109" s="255"/>
    </row>
    <row r="110" spans="1:11" s="273" customFormat="1" ht="20.25" customHeight="1">
      <c r="A110" s="480" t="str">
        <f>TPCDT</f>
        <v>..........................................</v>
      </c>
      <c r="B110" s="480"/>
      <c r="C110" s="480"/>
      <c r="D110" s="480"/>
      <c r="E110" s="480" t="str">
        <f>TPTVGS</f>
        <v>..........................................</v>
      </c>
      <c r="F110" s="480"/>
      <c r="G110" s="480" t="s">
        <v>1410</v>
      </c>
      <c r="H110" s="480"/>
      <c r="I110" s="480"/>
      <c r="J110" s="271"/>
      <c r="K110" s="272"/>
    </row>
  </sheetData>
  <mergeCells count="41">
    <mergeCell ref="E26:H26"/>
    <mergeCell ref="A2:C2"/>
    <mergeCell ref="E2:I2"/>
    <mergeCell ref="A3:C3"/>
    <mergeCell ref="E3:I3"/>
    <mergeCell ref="A4:C4"/>
    <mergeCell ref="E5:I5"/>
    <mergeCell ref="A7:H7"/>
    <mergeCell ref="A8:H8"/>
    <mergeCell ref="A18:I18"/>
    <mergeCell ref="A19:I19"/>
    <mergeCell ref="A20:I20"/>
    <mergeCell ref="E27:H27"/>
    <mergeCell ref="E32:H32"/>
    <mergeCell ref="A40:D40"/>
    <mergeCell ref="E40:I40"/>
    <mergeCell ref="A41:D41"/>
    <mergeCell ref="E41:I41"/>
    <mergeCell ref="B93:G93"/>
    <mergeCell ref="A74:I74"/>
    <mergeCell ref="A75:I75"/>
    <mergeCell ref="A42:D42"/>
    <mergeCell ref="F43:I43"/>
    <mergeCell ref="A45:I45"/>
    <mergeCell ref="A46:I46"/>
    <mergeCell ref="A54:I54"/>
    <mergeCell ref="A89:A90"/>
    <mergeCell ref="H89:I89"/>
    <mergeCell ref="B89:G90"/>
    <mergeCell ref="B91:G91"/>
    <mergeCell ref="B92:G92"/>
    <mergeCell ref="G110:I110"/>
    <mergeCell ref="B94:G94"/>
    <mergeCell ref="B95:G95"/>
    <mergeCell ref="A101:I101"/>
    <mergeCell ref="A104:I104"/>
    <mergeCell ref="A105:D105"/>
    <mergeCell ref="E105:F105"/>
    <mergeCell ref="G105:I105"/>
    <mergeCell ref="A110:D110"/>
    <mergeCell ref="E110:F110"/>
  </mergeCells>
  <pageMargins left="0.7" right="0.67" top="0.75" bottom="0.75" header="0.3" footer="0.3"/>
  <pageSetup paperSize="9" scale="99" orientation="portrait" r:id="rId1"/>
  <rowBreaks count="2" manualBreakCount="2">
    <brk id="37" max="8" man="1"/>
    <brk id="39" max="8" man="1"/>
  </rowBreaks>
  <colBreaks count="1" manualBreakCount="1">
    <brk id="9" max="1048575" man="1"/>
  </colBreaks>
  <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L32"/>
  <sheetViews>
    <sheetView topLeftCell="A16" workbookViewId="0">
      <selection activeCell="O7" sqref="O7"/>
    </sheetView>
  </sheetViews>
  <sheetFormatPr defaultRowHeight="14.25"/>
  <cols>
    <col min="1" max="1" width="0.75" style="190" customWidth="1"/>
    <col min="2" max="6" width="9" style="190"/>
    <col min="7" max="7" width="0.625" style="190" customWidth="1"/>
    <col min="8" max="11" width="9" style="190"/>
    <col min="12" max="12" width="0.75" style="190" customWidth="1"/>
    <col min="13" max="16384" width="9" style="190"/>
  </cols>
  <sheetData>
    <row r="1" spans="1:12" ht="3.75" customHeight="1">
      <c r="A1" s="189"/>
      <c r="B1" s="189"/>
      <c r="C1" s="189"/>
      <c r="D1" s="189"/>
      <c r="E1" s="189"/>
      <c r="F1" s="189"/>
      <c r="G1" s="189"/>
      <c r="H1" s="189"/>
      <c r="I1" s="189"/>
      <c r="J1" s="189"/>
      <c r="K1" s="189"/>
      <c r="L1" s="189"/>
    </row>
    <row r="2" spans="1:12">
      <c r="A2" s="191"/>
      <c r="B2" s="192"/>
      <c r="C2" s="193"/>
      <c r="D2" s="193"/>
      <c r="E2" s="193"/>
      <c r="F2" s="194"/>
      <c r="G2" s="195"/>
      <c r="H2" s="192"/>
      <c r="I2" s="193"/>
      <c r="J2" s="193"/>
      <c r="K2" s="194"/>
      <c r="L2" s="189"/>
    </row>
    <row r="3" spans="1:12" ht="16.5">
      <c r="A3" s="196"/>
      <c r="B3" s="520" t="s">
        <v>1149</v>
      </c>
      <c r="C3" s="519"/>
      <c r="D3" s="519"/>
      <c r="E3" s="519"/>
      <c r="F3" s="521"/>
      <c r="G3" s="197"/>
      <c r="H3" s="520" t="s">
        <v>1150</v>
      </c>
      <c r="I3" s="519"/>
      <c r="J3" s="519"/>
      <c r="K3" s="521"/>
      <c r="L3" s="189"/>
    </row>
    <row r="4" spans="1:12" ht="16.5">
      <c r="A4" s="198"/>
      <c r="B4" s="199"/>
      <c r="C4" s="200"/>
      <c r="D4" s="201"/>
      <c r="E4" s="201"/>
      <c r="F4" s="202"/>
      <c r="G4" s="203"/>
      <c r="H4" s="199"/>
      <c r="I4" s="200"/>
      <c r="J4" s="201"/>
      <c r="K4" s="202"/>
      <c r="L4" s="189"/>
    </row>
    <row r="5" spans="1:12" ht="16.5">
      <c r="A5" s="189"/>
      <c r="B5" s="522" t="s">
        <v>1151</v>
      </c>
      <c r="C5" s="522"/>
      <c r="D5" s="522"/>
      <c r="E5" s="522"/>
      <c r="F5" s="522"/>
      <c r="G5" s="189"/>
      <c r="H5" s="523" t="s">
        <v>1151</v>
      </c>
      <c r="I5" s="523"/>
      <c r="J5" s="523"/>
      <c r="K5" s="523"/>
      <c r="L5" s="189"/>
    </row>
    <row r="6" spans="1:12" ht="16.5">
      <c r="A6" s="189"/>
      <c r="B6" s="515" t="s">
        <v>1152</v>
      </c>
      <c r="C6" s="204" t="s">
        <v>1095</v>
      </c>
      <c r="D6" s="204" t="s">
        <v>1087</v>
      </c>
      <c r="E6" s="204" t="s">
        <v>1088</v>
      </c>
      <c r="F6" s="204" t="s">
        <v>1089</v>
      </c>
      <c r="G6" s="189"/>
      <c r="H6" s="515" t="s">
        <v>1152</v>
      </c>
      <c r="I6" s="204" t="s">
        <v>1095</v>
      </c>
      <c r="J6" s="204" t="s">
        <v>1087</v>
      </c>
      <c r="K6" s="204" t="s">
        <v>1089</v>
      </c>
      <c r="L6" s="189"/>
    </row>
    <row r="7" spans="1:12" ht="16.5">
      <c r="A7" s="189"/>
      <c r="B7" s="515"/>
      <c r="C7" s="205" t="s">
        <v>1153</v>
      </c>
      <c r="D7" s="205" t="s">
        <v>1154</v>
      </c>
      <c r="E7" s="205" t="s">
        <v>1154</v>
      </c>
      <c r="F7" s="205" t="s">
        <v>1155</v>
      </c>
      <c r="G7" s="189"/>
      <c r="H7" s="515"/>
      <c r="I7" s="205" t="s">
        <v>1153</v>
      </c>
      <c r="J7" s="205" t="s">
        <v>1154</v>
      </c>
      <c r="K7" s="205" t="s">
        <v>1155</v>
      </c>
      <c r="L7" s="189"/>
    </row>
    <row r="8" spans="1:12" ht="31.5">
      <c r="A8" s="189"/>
      <c r="B8" s="159" t="s">
        <v>1165</v>
      </c>
      <c r="C8" s="207">
        <v>187</v>
      </c>
      <c r="D8" s="207">
        <v>0.502</v>
      </c>
      <c r="E8" s="207">
        <v>0.89800000000000002</v>
      </c>
      <c r="F8" s="207">
        <v>175</v>
      </c>
      <c r="G8" s="189"/>
      <c r="H8" s="206" t="s">
        <v>1157</v>
      </c>
      <c r="I8" s="207">
        <v>230.02</v>
      </c>
      <c r="J8" s="207">
        <v>1.1200000000000001</v>
      </c>
      <c r="K8" s="207">
        <v>260</v>
      </c>
      <c r="L8" s="189"/>
    </row>
    <row r="9" spans="1:12" ht="31.5">
      <c r="A9" s="189"/>
      <c r="B9" s="159" t="s">
        <v>1166</v>
      </c>
      <c r="C9" s="207">
        <v>276</v>
      </c>
      <c r="D9" s="207">
        <v>0.47499999999999998</v>
      </c>
      <c r="E9" s="207">
        <v>0.88100000000000001</v>
      </c>
      <c r="F9" s="207">
        <v>195</v>
      </c>
      <c r="G9" s="189"/>
      <c r="H9" s="206" t="s">
        <v>1159</v>
      </c>
      <c r="I9" s="207">
        <v>296.02999999999997</v>
      </c>
      <c r="J9" s="207">
        <v>1.1200000000000001</v>
      </c>
      <c r="K9" s="207">
        <v>260</v>
      </c>
      <c r="L9" s="189"/>
    </row>
    <row r="10" spans="1:12" ht="31.5">
      <c r="A10" s="189"/>
      <c r="B10" s="159" t="s">
        <v>1167</v>
      </c>
      <c r="C10" s="207">
        <v>341</v>
      </c>
      <c r="D10" s="207">
        <v>0.45</v>
      </c>
      <c r="E10" s="207">
        <v>0.86599999999999999</v>
      </c>
      <c r="F10" s="207">
        <v>195</v>
      </c>
      <c r="G10" s="189"/>
      <c r="H10" s="206" t="s">
        <v>1156</v>
      </c>
      <c r="I10" s="207">
        <v>385.04</v>
      </c>
      <c r="J10" s="207">
        <v>1.0900000000000001</v>
      </c>
      <c r="K10" s="207">
        <v>260</v>
      </c>
      <c r="L10" s="189"/>
    </row>
    <row r="11" spans="1:12" ht="3.75" customHeight="1">
      <c r="A11" s="189"/>
      <c r="B11" s="208"/>
      <c r="C11" s="209"/>
      <c r="D11" s="209"/>
      <c r="E11" s="209"/>
      <c r="F11" s="209"/>
      <c r="G11" s="189"/>
      <c r="H11" s="208"/>
      <c r="I11" s="209"/>
      <c r="J11" s="209"/>
      <c r="K11" s="209"/>
      <c r="L11" s="189"/>
    </row>
    <row r="12" spans="1:12" ht="16.5">
      <c r="A12" s="189"/>
      <c r="B12" s="516" t="s">
        <v>1161</v>
      </c>
      <c r="C12" s="516"/>
      <c r="D12" s="516"/>
      <c r="E12" s="516"/>
      <c r="F12" s="516"/>
      <c r="G12" s="189"/>
      <c r="H12" s="210" t="s">
        <v>1161</v>
      </c>
      <c r="I12" s="211"/>
      <c r="J12" s="211"/>
      <c r="K12" s="211"/>
      <c r="L12" s="189"/>
    </row>
    <row r="13" spans="1:12" ht="16.5">
      <c r="A13" s="189"/>
      <c r="B13" s="515" t="s">
        <v>1152</v>
      </c>
      <c r="C13" s="204" t="s">
        <v>1095</v>
      </c>
      <c r="D13" s="204" t="s">
        <v>1087</v>
      </c>
      <c r="E13" s="204" t="s">
        <v>1088</v>
      </c>
      <c r="F13" s="204" t="s">
        <v>1089</v>
      </c>
      <c r="G13" s="189"/>
      <c r="H13" s="517" t="s">
        <v>1152</v>
      </c>
      <c r="I13" s="212" t="s">
        <v>1095</v>
      </c>
      <c r="J13" s="212" t="s">
        <v>1087</v>
      </c>
      <c r="K13" s="212" t="s">
        <v>1089</v>
      </c>
      <c r="L13" s="189"/>
    </row>
    <row r="14" spans="1:12" ht="16.5">
      <c r="A14" s="189"/>
      <c r="B14" s="515"/>
      <c r="C14" s="205" t="s">
        <v>1153</v>
      </c>
      <c r="D14" s="205" t="s">
        <v>1154</v>
      </c>
      <c r="E14" s="205" t="s">
        <v>1154</v>
      </c>
      <c r="F14" s="205" t="s">
        <v>1155</v>
      </c>
      <c r="G14" s="189"/>
      <c r="H14" s="517"/>
      <c r="I14" s="213" t="s">
        <v>1153</v>
      </c>
      <c r="J14" s="213" t="s">
        <v>1154</v>
      </c>
      <c r="K14" s="213" t="s">
        <v>1155</v>
      </c>
      <c r="L14" s="189"/>
    </row>
    <row r="15" spans="1:12" ht="16.5">
      <c r="A15" s="189"/>
      <c r="B15" s="206" t="s">
        <v>1156</v>
      </c>
      <c r="C15" s="207">
        <v>168</v>
      </c>
      <c r="D15" s="207">
        <v>0.52500000000000002</v>
      </c>
      <c r="E15" s="207">
        <v>0.91500000000000004</v>
      </c>
      <c r="F15" s="207">
        <v>165</v>
      </c>
      <c r="G15" s="189"/>
      <c r="H15" s="211" t="s">
        <v>1157</v>
      </c>
      <c r="I15" s="214"/>
      <c r="J15" s="214"/>
      <c r="K15" s="214"/>
      <c r="L15" s="189"/>
    </row>
    <row r="16" spans="1:12" ht="16.5">
      <c r="A16" s="189"/>
      <c r="B16" s="206" t="s">
        <v>1158</v>
      </c>
      <c r="C16" s="207">
        <v>226</v>
      </c>
      <c r="D16" s="207">
        <v>0.495</v>
      </c>
      <c r="E16" s="207">
        <v>0.89100000000000001</v>
      </c>
      <c r="F16" s="207">
        <v>195</v>
      </c>
      <c r="G16" s="189"/>
      <c r="H16" s="211" t="s">
        <v>1159</v>
      </c>
      <c r="I16" s="214"/>
      <c r="J16" s="214"/>
      <c r="K16" s="214"/>
      <c r="L16" s="189"/>
    </row>
    <row r="17" spans="1:12" ht="16.5">
      <c r="A17" s="189"/>
      <c r="B17" s="206" t="s">
        <v>1160</v>
      </c>
      <c r="C17" s="207">
        <v>276</v>
      </c>
      <c r="D17" s="207">
        <v>0.47499999999999998</v>
      </c>
      <c r="E17" s="207">
        <v>0.88100000000000001</v>
      </c>
      <c r="F17" s="207">
        <v>195</v>
      </c>
      <c r="G17" s="189"/>
      <c r="H17" s="211" t="s">
        <v>1156</v>
      </c>
      <c r="I17" s="214"/>
      <c r="J17" s="214"/>
      <c r="K17" s="214"/>
      <c r="L17" s="189"/>
    </row>
    <row r="18" spans="1:12" ht="4.5" customHeight="1">
      <c r="A18" s="189"/>
      <c r="B18" s="215"/>
      <c r="C18" s="215"/>
      <c r="D18" s="215"/>
      <c r="E18" s="215"/>
      <c r="F18" s="215"/>
      <c r="G18" s="215"/>
      <c r="H18" s="215"/>
      <c r="I18" s="215"/>
      <c r="J18" s="215"/>
      <c r="K18" s="215"/>
      <c r="L18" s="189"/>
    </row>
    <row r="19" spans="1:12" ht="16.5">
      <c r="A19" s="189"/>
      <c r="B19" s="514" t="s">
        <v>1162</v>
      </c>
      <c r="C19" s="514"/>
      <c r="D19" s="514"/>
      <c r="E19" s="514"/>
      <c r="F19" s="514"/>
      <c r="G19" s="189"/>
      <c r="H19" s="518"/>
      <c r="I19" s="518"/>
      <c r="J19" s="518"/>
      <c r="K19" s="518"/>
      <c r="L19" s="189"/>
    </row>
    <row r="20" spans="1:12" ht="16.5">
      <c r="A20" s="189"/>
      <c r="B20" s="515" t="s">
        <v>1152</v>
      </c>
      <c r="C20" s="204" t="s">
        <v>1095</v>
      </c>
      <c r="D20" s="204" t="s">
        <v>1087</v>
      </c>
      <c r="E20" s="204" t="s">
        <v>1088</v>
      </c>
      <c r="F20" s="204" t="s">
        <v>1089</v>
      </c>
      <c r="G20" s="189"/>
      <c r="H20" s="519"/>
      <c r="I20" s="216"/>
      <c r="J20" s="216"/>
      <c r="K20" s="216"/>
      <c r="L20" s="189"/>
    </row>
    <row r="21" spans="1:12" ht="16.5">
      <c r="A21" s="189"/>
      <c r="B21" s="515"/>
      <c r="C21" s="205" t="s">
        <v>1153</v>
      </c>
      <c r="D21" s="205" t="s">
        <v>1154</v>
      </c>
      <c r="E21" s="205" t="s">
        <v>1154</v>
      </c>
      <c r="F21" s="205" t="s">
        <v>1155</v>
      </c>
      <c r="G21" s="189"/>
      <c r="H21" s="519"/>
      <c r="I21" s="217"/>
      <c r="J21" s="217"/>
      <c r="K21" s="217"/>
      <c r="L21" s="189"/>
    </row>
    <row r="22" spans="1:12" ht="28.5">
      <c r="A22" s="189"/>
      <c r="B22" s="219" t="s">
        <v>1148</v>
      </c>
      <c r="C22" s="207">
        <v>187</v>
      </c>
      <c r="D22" s="207">
        <v>0.502</v>
      </c>
      <c r="E22" s="207">
        <v>0.89800000000000002</v>
      </c>
      <c r="F22" s="207">
        <v>175</v>
      </c>
      <c r="G22" s="189"/>
      <c r="H22" s="208"/>
      <c r="I22" s="209"/>
      <c r="J22" s="209"/>
      <c r="K22" s="209"/>
      <c r="L22" s="189"/>
    </row>
    <row r="23" spans="1:12" ht="28.5">
      <c r="A23" s="189"/>
      <c r="B23" s="219" t="s">
        <v>1164</v>
      </c>
      <c r="C23" s="207">
        <v>276</v>
      </c>
      <c r="D23" s="207">
        <v>0.47499999999999998</v>
      </c>
      <c r="E23" s="207">
        <v>0.88100000000000001</v>
      </c>
      <c r="F23" s="207">
        <v>195</v>
      </c>
      <c r="G23" s="189"/>
      <c r="H23" s="208"/>
      <c r="I23" s="209"/>
      <c r="J23" s="209"/>
      <c r="K23" s="209"/>
      <c r="L23" s="189"/>
    </row>
    <row r="24" spans="1:12" ht="28.5">
      <c r="A24" s="189"/>
      <c r="B24" s="219" t="s">
        <v>1096</v>
      </c>
      <c r="C24" s="207">
        <v>341</v>
      </c>
      <c r="D24" s="207">
        <v>0.45</v>
      </c>
      <c r="E24" s="207">
        <v>0.86599999999999999</v>
      </c>
      <c r="F24" s="207">
        <v>195</v>
      </c>
      <c r="G24" s="189"/>
      <c r="H24" s="208"/>
      <c r="I24" s="209"/>
      <c r="J24" s="209"/>
      <c r="K24" s="209"/>
      <c r="L24" s="189"/>
    </row>
    <row r="25" spans="1:12" ht="3.75" customHeight="1">
      <c r="A25" s="189"/>
      <c r="B25" s="208"/>
      <c r="C25" s="209"/>
      <c r="D25" s="209"/>
      <c r="E25" s="209"/>
      <c r="F25" s="209"/>
      <c r="G25" s="189"/>
      <c r="H25" s="208"/>
      <c r="I25" s="209"/>
      <c r="J25" s="209"/>
      <c r="K25" s="209"/>
      <c r="L25" s="189"/>
    </row>
    <row r="26" spans="1:12" ht="16.5">
      <c r="A26" s="189"/>
      <c r="B26" s="514" t="s">
        <v>1163</v>
      </c>
      <c r="C26" s="514"/>
      <c r="D26" s="514"/>
      <c r="E26" s="514"/>
      <c r="F26" s="514"/>
      <c r="G26" s="189"/>
      <c r="H26" s="514" t="s">
        <v>1162</v>
      </c>
      <c r="I26" s="514"/>
      <c r="J26" s="514"/>
      <c r="K26" s="514"/>
      <c r="L26" s="189"/>
    </row>
    <row r="27" spans="1:12" ht="16.5">
      <c r="A27" s="189"/>
      <c r="B27" s="515" t="s">
        <v>1152</v>
      </c>
      <c r="C27" s="204" t="s">
        <v>1095</v>
      </c>
      <c r="D27" s="204" t="s">
        <v>1087</v>
      </c>
      <c r="E27" s="204" t="s">
        <v>1088</v>
      </c>
      <c r="F27" s="204" t="s">
        <v>1089</v>
      </c>
      <c r="G27" s="189"/>
      <c r="H27" s="515" t="s">
        <v>1152</v>
      </c>
      <c r="I27" s="204" t="s">
        <v>1095</v>
      </c>
      <c r="J27" s="204" t="s">
        <v>1087</v>
      </c>
      <c r="K27" s="204" t="s">
        <v>1089</v>
      </c>
      <c r="L27" s="189"/>
    </row>
    <row r="28" spans="1:12" ht="16.5">
      <c r="A28" s="189"/>
      <c r="B28" s="515"/>
      <c r="C28" s="205" t="s">
        <v>1153</v>
      </c>
      <c r="D28" s="205" t="s">
        <v>1154</v>
      </c>
      <c r="E28" s="205" t="s">
        <v>1154</v>
      </c>
      <c r="F28" s="205" t="s">
        <v>1155</v>
      </c>
      <c r="G28" s="189"/>
      <c r="H28" s="515"/>
      <c r="I28" s="205" t="s">
        <v>1153</v>
      </c>
      <c r="J28" s="205" t="s">
        <v>1154</v>
      </c>
      <c r="K28" s="205" t="s">
        <v>1155</v>
      </c>
      <c r="L28" s="189"/>
    </row>
    <row r="29" spans="1:12" ht="15.75">
      <c r="A29" s="189"/>
      <c r="B29" s="206" t="s">
        <v>1156</v>
      </c>
      <c r="C29" s="207">
        <v>166</v>
      </c>
      <c r="D29" s="207">
        <v>0.51800000000000002</v>
      </c>
      <c r="E29" s="207">
        <v>0.91300000000000003</v>
      </c>
      <c r="F29" s="207">
        <v>165</v>
      </c>
      <c r="G29" s="189"/>
      <c r="H29" s="206" t="s">
        <v>1157</v>
      </c>
      <c r="I29" s="207">
        <v>230.02</v>
      </c>
      <c r="J29" s="207">
        <v>1.1200000000000001</v>
      </c>
      <c r="K29" s="207">
        <v>260</v>
      </c>
      <c r="L29" s="189"/>
    </row>
    <row r="30" spans="1:12" ht="15.75">
      <c r="A30" s="189"/>
      <c r="B30" s="206" t="s">
        <v>1158</v>
      </c>
      <c r="C30" s="207">
        <v>226</v>
      </c>
      <c r="D30" s="207">
        <v>0.495</v>
      </c>
      <c r="E30" s="207">
        <v>0.89100000000000001</v>
      </c>
      <c r="F30" s="207">
        <v>195</v>
      </c>
      <c r="G30" s="189"/>
      <c r="H30" s="206" t="s">
        <v>1159</v>
      </c>
      <c r="I30" s="207">
        <v>296.02999999999997</v>
      </c>
      <c r="J30" s="207">
        <v>1.1200000000000001</v>
      </c>
      <c r="K30" s="207">
        <v>260</v>
      </c>
      <c r="L30" s="189"/>
    </row>
    <row r="31" spans="1:12" ht="15.75">
      <c r="A31" s="189"/>
      <c r="B31" s="206" t="s">
        <v>1160</v>
      </c>
      <c r="C31" s="207">
        <v>276</v>
      </c>
      <c r="D31" s="207">
        <v>0.47499999999999998</v>
      </c>
      <c r="E31" s="207">
        <v>0.88100000000000001</v>
      </c>
      <c r="F31" s="207">
        <v>195</v>
      </c>
      <c r="G31" s="189"/>
      <c r="H31" s="206" t="s">
        <v>1156</v>
      </c>
      <c r="I31" s="207">
        <v>385.04</v>
      </c>
      <c r="J31" s="207">
        <v>1.0900000000000001</v>
      </c>
      <c r="K31" s="207">
        <v>260</v>
      </c>
      <c r="L31" s="189"/>
    </row>
    <row r="32" spans="1:12" ht="5.25" customHeight="1">
      <c r="A32" s="189"/>
      <c r="B32" s="189"/>
      <c r="C32" s="189"/>
      <c r="D32" s="189"/>
      <c r="E32" s="189"/>
      <c r="F32" s="189"/>
      <c r="G32" s="189"/>
      <c r="H32" s="189"/>
      <c r="I32" s="189"/>
      <c r="J32" s="189"/>
      <c r="K32" s="189"/>
      <c r="L32" s="189"/>
    </row>
  </sheetData>
  <mergeCells count="17">
    <mergeCell ref="B3:F3"/>
    <mergeCell ref="H3:K3"/>
    <mergeCell ref="B5:F5"/>
    <mergeCell ref="H5:K5"/>
    <mergeCell ref="B6:B7"/>
    <mergeCell ref="H6:H7"/>
    <mergeCell ref="B26:F26"/>
    <mergeCell ref="H26:K26"/>
    <mergeCell ref="B27:B28"/>
    <mergeCell ref="H27:H28"/>
    <mergeCell ref="B12:F12"/>
    <mergeCell ref="B13:B14"/>
    <mergeCell ref="H13:H14"/>
    <mergeCell ref="B19:F19"/>
    <mergeCell ref="H19:K19"/>
    <mergeCell ref="B20:B21"/>
    <mergeCell ref="H20:H21"/>
  </mergeCells>
  <pageMargins left="0.7" right="0.7" top="0.75" bottom="0.75" header="0.3" footer="0.3"/>
  <pageSetup paperSize="9" orientation="portrait" verticalDpi="0" r:id="rId1"/>
  <drawing r:id="rId2"/>
  <legacy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BD1337"/>
  <sheetViews>
    <sheetView view="pageBreakPreview" zoomScale="85" zoomScaleNormal="85" zoomScaleSheetLayoutView="85" workbookViewId="0">
      <pane ySplit="1" topLeftCell="A17" activePane="bottomLeft" state="frozen"/>
      <selection pane="bottomLeft" activeCell="X31" sqref="X31"/>
    </sheetView>
  </sheetViews>
  <sheetFormatPr defaultRowHeight="15.75"/>
  <cols>
    <col min="1" max="1" width="4.75" style="139" customWidth="1"/>
    <col min="2" max="2" width="4.5" style="139" hidden="1" customWidth="1"/>
    <col min="3" max="3" width="10.625" style="139" hidden="1" customWidth="1"/>
    <col min="4" max="4" width="11.625" style="139" hidden="1" customWidth="1"/>
    <col min="5" max="5" width="65.25" style="140" bestFit="1" customWidth="1"/>
    <col min="6" max="6" width="24.875" style="141" hidden="1" customWidth="1"/>
    <col min="7" max="7" width="22.5" style="141" hidden="1" customWidth="1"/>
    <col min="8" max="8" width="20.25" style="141" customWidth="1"/>
    <col min="9" max="9" width="17.875" style="141" hidden="1" customWidth="1"/>
    <col min="10" max="10" width="21.25" style="141" customWidth="1"/>
    <col min="11" max="13" width="11.125" style="139" hidden="1" customWidth="1"/>
    <col min="14" max="14" width="16.125" style="139" customWidth="1"/>
    <col min="15" max="18" width="11.125" style="139" hidden="1" customWidth="1"/>
    <col min="19" max="19" width="17.5" style="139" hidden="1" customWidth="1"/>
    <col min="20" max="20" width="12.875" style="139" hidden="1" customWidth="1"/>
    <col min="21" max="21" width="0" style="139" hidden="1" customWidth="1"/>
    <col min="22" max="23" width="11.5" style="139" hidden="1" customWidth="1"/>
    <col min="24" max="24" width="15.875" style="139" customWidth="1"/>
    <col min="25" max="25" width="11.5" style="139" hidden="1" customWidth="1"/>
    <col min="26" max="26" width="19.5" style="139" hidden="1" customWidth="1"/>
    <col min="27" max="29" width="0" style="186" hidden="1" customWidth="1"/>
    <col min="30" max="56" width="9" style="186"/>
    <col min="57" max="16384" width="9" style="139"/>
  </cols>
  <sheetData>
    <row r="1" spans="1:29" ht="60.75" customHeight="1">
      <c r="A1" s="143"/>
      <c r="B1" s="143"/>
      <c r="C1" s="143"/>
      <c r="D1" s="143"/>
      <c r="E1" s="144"/>
      <c r="F1" s="145"/>
      <c r="G1" s="145"/>
      <c r="H1" s="145"/>
      <c r="I1" s="145"/>
      <c r="J1" s="145"/>
      <c r="K1" s="143"/>
      <c r="L1" s="143"/>
      <c r="M1" s="143"/>
      <c r="N1" s="143"/>
      <c r="O1" s="143"/>
      <c r="P1" s="143"/>
      <c r="Q1" s="143"/>
      <c r="R1" s="143"/>
      <c r="S1" s="143"/>
      <c r="T1" s="143"/>
      <c r="U1" s="143"/>
      <c r="V1" s="143"/>
      <c r="W1" s="143"/>
      <c r="X1" s="143"/>
      <c r="Z1" s="261"/>
      <c r="AA1" s="261"/>
      <c r="AB1" s="261"/>
    </row>
    <row r="2" spans="1:29" ht="7.5" customHeight="1"/>
    <row r="3" spans="1:29" ht="16.5">
      <c r="E3" s="146" t="s">
        <v>1068</v>
      </c>
    </row>
    <row r="4" spans="1:29" ht="16.5">
      <c r="E4" s="147" t="s">
        <v>1069</v>
      </c>
    </row>
    <row r="5" spans="1:29" ht="16.5">
      <c r="E5" s="157" t="str">
        <f>'List - Nha'!T3</f>
        <v>Mục : Nhà tiểu học 3 phòng</v>
      </c>
    </row>
    <row r="6" spans="1:29" ht="16.5">
      <c r="E6" s="148" t="s">
        <v>1070</v>
      </c>
    </row>
    <row r="7" spans="1:29" ht="16.5">
      <c r="E7" s="149" t="s">
        <v>1071</v>
      </c>
    </row>
    <row r="8" spans="1:29" ht="16.5">
      <c r="E8" s="157" t="str">
        <f>"Điểm TĐC : "&amp;'List - Nha'!U3</f>
        <v>Điểm TĐC : Điểm TĐC Pom Chốn</v>
      </c>
    </row>
    <row r="9" spans="1:29" ht="8.25" customHeight="1"/>
    <row r="10" spans="1:29" ht="19.5">
      <c r="A10" s="524" t="s">
        <v>1072</v>
      </c>
      <c r="B10" s="524"/>
      <c r="C10" s="524"/>
      <c r="D10" s="524"/>
      <c r="E10" s="524"/>
      <c r="F10" s="524"/>
      <c r="G10" s="524"/>
      <c r="H10" s="524"/>
      <c r="I10" s="524"/>
      <c r="J10" s="524"/>
      <c r="K10" s="524"/>
      <c r="L10" s="524"/>
      <c r="M10" s="524"/>
      <c r="N10" s="524"/>
      <c r="O10" s="524"/>
      <c r="P10" s="524"/>
      <c r="Q10" s="524"/>
      <c r="R10" s="524"/>
      <c r="S10" s="524"/>
      <c r="T10" s="524"/>
      <c r="U10" s="524"/>
      <c r="V10" s="524"/>
      <c r="W10" s="524"/>
      <c r="X10" s="524"/>
    </row>
    <row r="11" spans="1:29">
      <c r="A11" s="525" t="str">
        <f>"("&amp;'List - Nha'!T3&amp;" - "&amp;'List - Nha'!U3&amp;")"</f>
        <v>(Mục : Nhà tiểu học 3 phòng - Điểm TĐC Pom Chốn)</v>
      </c>
      <c r="B11" s="525"/>
      <c r="C11" s="525"/>
      <c r="D11" s="525"/>
      <c r="E11" s="525"/>
      <c r="F11" s="525"/>
      <c r="G11" s="525"/>
      <c r="H11" s="525"/>
      <c r="I11" s="525"/>
      <c r="J11" s="525"/>
      <c r="K11" s="525"/>
      <c r="L11" s="525"/>
      <c r="M11" s="525"/>
      <c r="N11" s="525"/>
      <c r="O11" s="525"/>
      <c r="P11" s="525"/>
      <c r="Q11" s="525"/>
      <c r="R11" s="525"/>
      <c r="S11" s="525"/>
      <c r="T11" s="525"/>
      <c r="U11" s="525"/>
      <c r="V11" s="525"/>
      <c r="W11" s="525"/>
      <c r="X11" s="525"/>
    </row>
    <row r="12" spans="1:29" ht="7.5" customHeight="1"/>
    <row r="13" spans="1:29" ht="42.75">
      <c r="A13" s="336" t="s">
        <v>1133</v>
      </c>
      <c r="B13" s="336" t="s">
        <v>0</v>
      </c>
      <c r="C13" s="336" t="s">
        <v>1063</v>
      </c>
      <c r="D13" s="336" t="s">
        <v>1004</v>
      </c>
      <c r="E13" s="337" t="s">
        <v>932</v>
      </c>
      <c r="F13" s="337" t="s">
        <v>933</v>
      </c>
      <c r="G13" s="337" t="s">
        <v>934</v>
      </c>
      <c r="H13" s="337" t="s">
        <v>1065</v>
      </c>
      <c r="I13" s="337" t="s">
        <v>935</v>
      </c>
      <c r="J13" s="337" t="s">
        <v>1064</v>
      </c>
      <c r="K13" s="337" t="s">
        <v>936</v>
      </c>
      <c r="L13" s="337" t="s">
        <v>937</v>
      </c>
      <c r="M13" s="337" t="s">
        <v>938</v>
      </c>
      <c r="N13" s="337" t="s">
        <v>1066</v>
      </c>
      <c r="O13" s="337" t="s">
        <v>939</v>
      </c>
      <c r="P13" s="337" t="s">
        <v>940</v>
      </c>
      <c r="Q13" s="337" t="s">
        <v>941</v>
      </c>
      <c r="R13" s="337" t="s">
        <v>942</v>
      </c>
      <c r="S13" s="337" t="s">
        <v>943</v>
      </c>
      <c r="T13" s="337" t="s">
        <v>944</v>
      </c>
      <c r="U13" s="337" t="s">
        <v>945</v>
      </c>
      <c r="V13" s="337" t="s">
        <v>946</v>
      </c>
      <c r="W13" s="337" t="s">
        <v>947</v>
      </c>
      <c r="X13" s="337" t="s">
        <v>1067</v>
      </c>
    </row>
    <row r="14" spans="1:29" s="186" customFormat="1" ht="24" customHeight="1">
      <c r="A14" s="321">
        <v>1</v>
      </c>
      <c r="B14" s="321"/>
      <c r="C14" s="321"/>
      <c r="D14" s="321" t="str">
        <f>'List - Nha'!C3</f>
        <v>NTCV1</v>
      </c>
      <c r="E14" s="322" t="str">
        <f t="shared" ref="E14" si="0">VLOOKUP(D14,TUANBV,2,0)</f>
        <v>Đào hố móng</v>
      </c>
      <c r="F14" s="323" t="s">
        <v>1083</v>
      </c>
      <c r="G14" s="323" t="s">
        <v>1084</v>
      </c>
      <c r="H14" s="323" t="str">
        <f t="shared" ref="H14" si="1">VLOOKUP(D14,TUANBV,5,0)&amp;"/PYC"</f>
        <v>1/DMTH3PC/PYC</v>
      </c>
      <c r="I14" s="323"/>
      <c r="J14" s="323" t="str">
        <f t="shared" ref="J14" si="2">VLOOKUP(D14,TUANBV,6,0)&amp;"/"&amp;Y14</f>
        <v>1/DMTH3PC/NTCV</v>
      </c>
      <c r="K14" s="321"/>
      <c r="L14" s="321">
        <f>DAY(N14)</f>
        <v>18</v>
      </c>
      <c r="M14" s="321">
        <f>MONTH(N14)</f>
        <v>8</v>
      </c>
      <c r="N14" s="324">
        <f t="shared" ref="N14" si="3">VLOOKUP(D14,TUANBV,9,0)</f>
        <v>41869</v>
      </c>
      <c r="O14" s="321"/>
      <c r="P14" s="321"/>
      <c r="Q14" s="321"/>
      <c r="R14" s="321"/>
      <c r="S14" s="325"/>
      <c r="T14" s="321" t="s">
        <v>856</v>
      </c>
      <c r="U14" s="321" t="s">
        <v>853</v>
      </c>
      <c r="V14" s="321">
        <f>DAY(X14)</f>
        <v>19</v>
      </c>
      <c r="W14" s="321">
        <f>MONTH(X14)</f>
        <v>8</v>
      </c>
      <c r="X14" s="324">
        <f t="shared" ref="X14" si="4">VLOOKUP(D14,TUANBV,14,0)</f>
        <v>41870</v>
      </c>
      <c r="Y14" s="186" t="str">
        <f>VLOOKUP($Z14,$AB$14:$AC$26,2,0)</f>
        <v>NTCV</v>
      </c>
      <c r="Z14" s="186" t="str">
        <f>LEFT(D14,3)</f>
        <v>NTC</v>
      </c>
      <c r="AA14" s="186">
        <v>1</v>
      </c>
      <c r="AB14" s="186" t="s">
        <v>1615</v>
      </c>
      <c r="AC14" s="186" t="s">
        <v>1134</v>
      </c>
    </row>
    <row r="15" spans="1:29" s="186" customFormat="1" ht="24" customHeight="1">
      <c r="A15" s="179">
        <v>2</v>
      </c>
      <c r="B15" s="179"/>
      <c r="C15" s="179"/>
      <c r="D15" s="179" t="str">
        <f>'List - Nha'!C4</f>
        <v>VLBT1</v>
      </c>
      <c r="E15" s="180" t="str">
        <f t="shared" ref="E15:E37" si="5">VLOOKUP(D15,TUANBV,2,0)</f>
        <v>Vật liệu trước khi đổ bê tông lót móng</v>
      </c>
      <c r="F15" s="181" t="s">
        <v>1083</v>
      </c>
      <c r="G15" s="181" t="s">
        <v>1084</v>
      </c>
      <c r="H15" s="181" t="str">
        <f t="shared" ref="H15:H37" si="6">VLOOKUP(D15,TUANBV,5,0)&amp;"/PYC"</f>
        <v>2/VLTH3PC/PYC</v>
      </c>
      <c r="I15" s="181"/>
      <c r="J15" s="181" t="str">
        <f t="shared" ref="J15:J37" si="7">VLOOKUP(D15,TUANBV,6,0)&amp;"/"&amp;Y15</f>
        <v>2/VLTH3PC/VLĐV</v>
      </c>
      <c r="K15" s="179"/>
      <c r="L15" s="179">
        <f t="shared" ref="L15:L37" si="8">DAY(N15)</f>
        <v>18</v>
      </c>
      <c r="M15" s="179">
        <f t="shared" ref="M15:M37" si="9">MONTH(N15)</f>
        <v>8</v>
      </c>
      <c r="N15" s="182">
        <f t="shared" ref="N15:N37" si="10">VLOOKUP(D15,TUANBV,9,0)</f>
        <v>41869</v>
      </c>
      <c r="O15" s="179"/>
      <c r="P15" s="179"/>
      <c r="Q15" s="179"/>
      <c r="R15" s="179"/>
      <c r="S15" s="183"/>
      <c r="T15" s="179" t="s">
        <v>856</v>
      </c>
      <c r="U15" s="179" t="s">
        <v>853</v>
      </c>
      <c r="V15" s="179">
        <f t="shared" ref="V15:V31" si="11">DAY(X15)</f>
        <v>19</v>
      </c>
      <c r="W15" s="179">
        <f t="shared" ref="W15:W31" si="12">MONTH(X15)</f>
        <v>8</v>
      </c>
      <c r="X15" s="182">
        <f t="shared" ref="X15:X37" si="13">VLOOKUP(D15,TUANBV,14,0)</f>
        <v>41870</v>
      </c>
      <c r="Y15" s="186" t="str">
        <f t="shared" ref="Y15:Y78" si="14">VLOOKUP($Z15,$AB$14:$AC$26,2,0)</f>
        <v>VLĐV</v>
      </c>
      <c r="Z15" s="186" t="str">
        <f t="shared" ref="Z15:Z78" si="15">LEFT(D15,3)</f>
        <v>VLB</v>
      </c>
      <c r="AA15" s="186">
        <v>2</v>
      </c>
      <c r="AB15" s="186" t="s">
        <v>1616</v>
      </c>
      <c r="AC15" s="186" t="s">
        <v>1126</v>
      </c>
    </row>
    <row r="16" spans="1:29" s="186" customFormat="1" ht="24" customHeight="1">
      <c r="A16" s="179">
        <v>3</v>
      </c>
      <c r="B16" s="179"/>
      <c r="C16" s="179"/>
      <c r="D16" s="179" t="str">
        <f>'List - Nha'!C5</f>
        <v>VKBT1</v>
      </c>
      <c r="E16" s="180" t="str">
        <f t="shared" si="5"/>
        <v>Nghiệm thu công tác lắp dựng ván khuôn bê tông lót móng</v>
      </c>
      <c r="F16" s="181" t="s">
        <v>1083</v>
      </c>
      <c r="G16" s="181" t="s">
        <v>1084</v>
      </c>
      <c r="H16" s="181" t="str">
        <f t="shared" si="6"/>
        <v>2/VKTH3PC/PYC</v>
      </c>
      <c r="I16" s="181"/>
      <c r="J16" s="181" t="str">
        <f t="shared" si="7"/>
        <v>2/VKTH3PC/NTVK</v>
      </c>
      <c r="K16" s="179"/>
      <c r="L16" s="179">
        <f t="shared" si="8"/>
        <v>18</v>
      </c>
      <c r="M16" s="179">
        <f t="shared" si="9"/>
        <v>8</v>
      </c>
      <c r="N16" s="182">
        <f t="shared" si="10"/>
        <v>41869</v>
      </c>
      <c r="O16" s="179"/>
      <c r="P16" s="179"/>
      <c r="Q16" s="179"/>
      <c r="R16" s="179"/>
      <c r="S16" s="183"/>
      <c r="T16" s="179" t="s">
        <v>856</v>
      </c>
      <c r="U16" s="179" t="s">
        <v>853</v>
      </c>
      <c r="V16" s="179">
        <f t="shared" si="11"/>
        <v>19</v>
      </c>
      <c r="W16" s="179">
        <f t="shared" si="12"/>
        <v>8</v>
      </c>
      <c r="X16" s="182">
        <f t="shared" si="13"/>
        <v>41870</v>
      </c>
      <c r="Y16" s="186" t="str">
        <f t="shared" si="14"/>
        <v>NTVK</v>
      </c>
      <c r="Z16" s="186" t="str">
        <f t="shared" si="15"/>
        <v>VKB</v>
      </c>
      <c r="AA16" s="186">
        <v>3</v>
      </c>
      <c r="AB16" s="186" t="s">
        <v>1617</v>
      </c>
      <c r="AC16" s="186" t="s">
        <v>1125</v>
      </c>
    </row>
    <row r="17" spans="1:29" s="186" customFormat="1" ht="24" customHeight="1">
      <c r="A17" s="179">
        <v>4</v>
      </c>
      <c r="B17" s="179"/>
      <c r="C17" s="179"/>
      <c r="D17" s="179" t="str">
        <f>'List - Nha'!C6</f>
        <v>CBBT1</v>
      </c>
      <c r="E17" s="180" t="str">
        <f t="shared" si="5"/>
        <v>Kiểm tra công tác chuẩn bị đổ bê tông lót móng</v>
      </c>
      <c r="F17" s="181" t="s">
        <v>1083</v>
      </c>
      <c r="G17" s="181" t="s">
        <v>1084</v>
      </c>
      <c r="H17" s="181" t="str">
        <f t="shared" si="6"/>
        <v>2/CBTH3PC/PYC</v>
      </c>
      <c r="I17" s="181"/>
      <c r="J17" s="181" t="str">
        <f t="shared" si="7"/>
        <v>2/CBTH3PC/CBBT</v>
      </c>
      <c r="K17" s="179"/>
      <c r="L17" s="179">
        <f t="shared" si="8"/>
        <v>18</v>
      </c>
      <c r="M17" s="179">
        <f t="shared" si="9"/>
        <v>8</v>
      </c>
      <c r="N17" s="182">
        <f t="shared" si="10"/>
        <v>41869</v>
      </c>
      <c r="O17" s="179"/>
      <c r="P17" s="179"/>
      <c r="Q17" s="179"/>
      <c r="R17" s="179"/>
      <c r="S17" s="183"/>
      <c r="T17" s="179" t="s">
        <v>856</v>
      </c>
      <c r="U17" s="179" t="s">
        <v>853</v>
      </c>
      <c r="V17" s="179">
        <f t="shared" si="11"/>
        <v>19</v>
      </c>
      <c r="W17" s="179">
        <f t="shared" si="12"/>
        <v>8</v>
      </c>
      <c r="X17" s="182">
        <f t="shared" si="13"/>
        <v>41870</v>
      </c>
      <c r="Y17" s="186" t="str">
        <f t="shared" si="14"/>
        <v>CBBT</v>
      </c>
      <c r="Z17" s="186" t="str">
        <f t="shared" si="15"/>
        <v>CBB</v>
      </c>
      <c r="AA17" s="186">
        <v>4</v>
      </c>
      <c r="AB17" s="186" t="s">
        <v>1618</v>
      </c>
      <c r="AC17" s="186" t="s">
        <v>1127</v>
      </c>
    </row>
    <row r="18" spans="1:29" s="186" customFormat="1" ht="24" customHeight="1">
      <c r="A18" s="179">
        <v>5</v>
      </c>
      <c r="B18" s="179"/>
      <c r="C18" s="179"/>
      <c r="D18" s="179" t="str">
        <f>'List - Nha'!C7</f>
        <v>GSBT1</v>
      </c>
      <c r="E18" s="180" t="str">
        <f t="shared" si="5"/>
        <v>Giám sát quá trình đổ bê tông lót móng</v>
      </c>
      <c r="F18" s="181" t="s">
        <v>1083</v>
      </c>
      <c r="G18" s="181" t="s">
        <v>1084</v>
      </c>
      <c r="H18" s="181" t="str">
        <f t="shared" si="6"/>
        <v>2/GSTH3PC/PYC</v>
      </c>
      <c r="I18" s="181"/>
      <c r="J18" s="181" t="str">
        <f t="shared" si="7"/>
        <v>2/GSTH3PC/GSBT</v>
      </c>
      <c r="K18" s="179"/>
      <c r="L18" s="179">
        <f t="shared" si="8"/>
        <v>18</v>
      </c>
      <c r="M18" s="179">
        <f t="shared" si="9"/>
        <v>8</v>
      </c>
      <c r="N18" s="182">
        <f t="shared" si="10"/>
        <v>41869</v>
      </c>
      <c r="O18" s="179"/>
      <c r="P18" s="179"/>
      <c r="Q18" s="179"/>
      <c r="R18" s="179"/>
      <c r="S18" s="183"/>
      <c r="T18" s="179" t="s">
        <v>856</v>
      </c>
      <c r="U18" s="179" t="s">
        <v>853</v>
      </c>
      <c r="V18" s="179">
        <f t="shared" si="11"/>
        <v>19</v>
      </c>
      <c r="W18" s="179">
        <f t="shared" si="12"/>
        <v>8</v>
      </c>
      <c r="X18" s="182">
        <f t="shared" si="13"/>
        <v>41870</v>
      </c>
      <c r="Y18" s="186" t="str">
        <f t="shared" si="14"/>
        <v>GSBT</v>
      </c>
      <c r="Z18" s="186" t="str">
        <f t="shared" si="15"/>
        <v>GSB</v>
      </c>
      <c r="AA18" s="186">
        <v>5</v>
      </c>
      <c r="AB18" s="186" t="s">
        <v>1619</v>
      </c>
      <c r="AC18" s="186" t="s">
        <v>1128</v>
      </c>
    </row>
    <row r="19" spans="1:29" s="186" customFormat="1" ht="24" customHeight="1">
      <c r="A19" s="179">
        <v>6</v>
      </c>
      <c r="B19" s="179"/>
      <c r="C19" s="179"/>
      <c r="D19" s="179" t="str">
        <f>'List - Nha'!C8</f>
        <v>LMBT1</v>
      </c>
      <c r="E19" s="180" t="str">
        <f t="shared" si="5"/>
        <v>Lấy mẫu bê tông lót móng</v>
      </c>
      <c r="F19" s="181" t="s">
        <v>1083</v>
      </c>
      <c r="G19" s="181" t="s">
        <v>1084</v>
      </c>
      <c r="H19" s="181" t="str">
        <f t="shared" si="6"/>
        <v>2/LMTH3PC/PYC</v>
      </c>
      <c r="I19" s="181"/>
      <c r="J19" s="181" t="str">
        <f t="shared" si="7"/>
        <v>2/LMTH3PC/LMBT</v>
      </c>
      <c r="K19" s="179"/>
      <c r="L19" s="179">
        <f t="shared" si="8"/>
        <v>18</v>
      </c>
      <c r="M19" s="179">
        <f t="shared" si="9"/>
        <v>8</v>
      </c>
      <c r="N19" s="182">
        <f t="shared" si="10"/>
        <v>41869</v>
      </c>
      <c r="O19" s="179"/>
      <c r="P19" s="179"/>
      <c r="Q19" s="179"/>
      <c r="R19" s="179"/>
      <c r="S19" s="183"/>
      <c r="T19" s="179" t="s">
        <v>856</v>
      </c>
      <c r="U19" s="179" t="s">
        <v>853</v>
      </c>
      <c r="V19" s="179">
        <f t="shared" si="11"/>
        <v>19</v>
      </c>
      <c r="W19" s="179">
        <f t="shared" si="12"/>
        <v>8</v>
      </c>
      <c r="X19" s="182">
        <f t="shared" si="13"/>
        <v>41870</v>
      </c>
      <c r="Y19" s="186" t="str">
        <f t="shared" si="14"/>
        <v>LMBT</v>
      </c>
      <c r="Z19" s="186" t="str">
        <f t="shared" si="15"/>
        <v>LMB</v>
      </c>
      <c r="AA19" s="186">
        <v>6</v>
      </c>
      <c r="AB19" s="186" t="s">
        <v>1620</v>
      </c>
      <c r="AC19" s="186" t="s">
        <v>1129</v>
      </c>
    </row>
    <row r="20" spans="1:29" s="186" customFormat="1" ht="24" customHeight="1">
      <c r="A20" s="179">
        <v>7</v>
      </c>
      <c r="B20" s="179"/>
      <c r="C20" s="179"/>
      <c r="D20" s="179" t="str">
        <f>'List - Nha'!C9</f>
        <v>TVK1</v>
      </c>
      <c r="E20" s="180" t="str">
        <f t="shared" si="5"/>
        <v>Nghiệm thu công tác tháo ván khuôn bê tông lót móng</v>
      </c>
      <c r="F20" s="181" t="s">
        <v>1083</v>
      </c>
      <c r="G20" s="181" t="s">
        <v>1084</v>
      </c>
      <c r="H20" s="181" t="str">
        <f t="shared" si="6"/>
        <v>2/TVKTH3PC/PYC</v>
      </c>
      <c r="I20" s="181"/>
      <c r="J20" s="181" t="str">
        <f t="shared" si="7"/>
        <v>2/TVKTH3PC/TVK</v>
      </c>
      <c r="K20" s="179"/>
      <c r="L20" s="179">
        <f t="shared" si="8"/>
        <v>21</v>
      </c>
      <c r="M20" s="179">
        <f t="shared" si="9"/>
        <v>8</v>
      </c>
      <c r="N20" s="182">
        <f t="shared" si="10"/>
        <v>41872</v>
      </c>
      <c r="O20" s="179"/>
      <c r="P20" s="179"/>
      <c r="Q20" s="179"/>
      <c r="R20" s="179"/>
      <c r="S20" s="183"/>
      <c r="T20" s="179" t="s">
        <v>856</v>
      </c>
      <c r="U20" s="179" t="s">
        <v>853</v>
      </c>
      <c r="V20" s="179">
        <f t="shared" si="11"/>
        <v>22</v>
      </c>
      <c r="W20" s="179">
        <f t="shared" si="12"/>
        <v>8</v>
      </c>
      <c r="X20" s="182">
        <f t="shared" si="13"/>
        <v>41873</v>
      </c>
      <c r="Y20" s="186" t="str">
        <f t="shared" si="14"/>
        <v>TVK</v>
      </c>
      <c r="Z20" s="186" t="str">
        <f t="shared" si="15"/>
        <v>TVK</v>
      </c>
      <c r="AA20" s="186">
        <v>7</v>
      </c>
      <c r="AB20" s="186" t="s">
        <v>1392</v>
      </c>
      <c r="AC20" s="186" t="s">
        <v>1392</v>
      </c>
    </row>
    <row r="21" spans="1:29" s="186" customFormat="1" ht="24" customHeight="1">
      <c r="A21" s="359">
        <v>8</v>
      </c>
      <c r="B21" s="359"/>
      <c r="C21" s="359"/>
      <c r="D21" s="359" t="str">
        <f>'List - Nha'!C10</f>
        <v>NTBT1</v>
      </c>
      <c r="E21" s="360" t="str">
        <f t="shared" si="5"/>
        <v>Nghiệm thu bê tông lót móng</v>
      </c>
      <c r="F21" s="361" t="s">
        <v>1083</v>
      </c>
      <c r="G21" s="361" t="s">
        <v>1084</v>
      </c>
      <c r="H21" s="361" t="str">
        <f t="shared" si="6"/>
        <v>2/BTTH3PC/PYC</v>
      </c>
      <c r="I21" s="361"/>
      <c r="J21" s="361" t="str">
        <f t="shared" si="7"/>
        <v>2/BTTH3PC/NTCV</v>
      </c>
      <c r="K21" s="359"/>
      <c r="L21" s="359">
        <f t="shared" si="8"/>
        <v>15</v>
      </c>
      <c r="M21" s="359">
        <f t="shared" si="9"/>
        <v>9</v>
      </c>
      <c r="N21" s="362">
        <f t="shared" si="10"/>
        <v>41897</v>
      </c>
      <c r="O21" s="359"/>
      <c r="P21" s="359"/>
      <c r="Q21" s="359"/>
      <c r="R21" s="359"/>
      <c r="S21" s="363"/>
      <c r="T21" s="359" t="s">
        <v>856</v>
      </c>
      <c r="U21" s="359" t="s">
        <v>853</v>
      </c>
      <c r="V21" s="359">
        <f t="shared" ref="V21" si="16">DAY(X21)</f>
        <v>16</v>
      </c>
      <c r="W21" s="359">
        <f t="shared" ref="W21" si="17">MONTH(X21)</f>
        <v>9</v>
      </c>
      <c r="X21" s="362">
        <f t="shared" ref="X21" si="18">VLOOKUP(D21,TUANBV,14,0)</f>
        <v>41898</v>
      </c>
      <c r="Y21" s="186" t="str">
        <f t="shared" si="14"/>
        <v>NTCV</v>
      </c>
      <c r="Z21" s="186" t="str">
        <f t="shared" si="15"/>
        <v>NTB</v>
      </c>
      <c r="AA21" s="186">
        <v>8</v>
      </c>
      <c r="AB21" s="186" t="s">
        <v>1621</v>
      </c>
      <c r="AC21" s="186" t="s">
        <v>1130</v>
      </c>
    </row>
    <row r="22" spans="1:29" s="186" customFormat="1">
      <c r="A22" s="354">
        <v>9</v>
      </c>
      <c r="B22" s="354"/>
      <c r="C22" s="354"/>
      <c r="D22" s="354" t="str">
        <f>'List - Nha'!C11</f>
        <v>VLXAY1</v>
      </c>
      <c r="E22" s="355" t="str">
        <f t="shared" si="5"/>
        <v>Vật liệu trước khi xây móng đá hộc</v>
      </c>
      <c r="F22" s="356" t="s">
        <v>1083</v>
      </c>
      <c r="G22" s="356" t="s">
        <v>1084</v>
      </c>
      <c r="H22" s="356" t="str">
        <f t="shared" si="6"/>
        <v>3/VLTH3PC/PYC</v>
      </c>
      <c r="I22" s="356"/>
      <c r="J22" s="356" t="str">
        <f t="shared" si="7"/>
        <v>3/VLTH3PC/VLĐV</v>
      </c>
      <c r="K22" s="354"/>
      <c r="L22" s="354">
        <f t="shared" si="8"/>
        <v>22</v>
      </c>
      <c r="M22" s="354">
        <f t="shared" si="9"/>
        <v>8</v>
      </c>
      <c r="N22" s="357">
        <f t="shared" si="10"/>
        <v>41873</v>
      </c>
      <c r="O22" s="354"/>
      <c r="P22" s="354"/>
      <c r="Q22" s="354"/>
      <c r="R22" s="354"/>
      <c r="S22" s="358"/>
      <c r="T22" s="354" t="s">
        <v>856</v>
      </c>
      <c r="U22" s="354" t="s">
        <v>853</v>
      </c>
      <c r="V22" s="354">
        <f t="shared" si="11"/>
        <v>23</v>
      </c>
      <c r="W22" s="354">
        <f t="shared" si="12"/>
        <v>8</v>
      </c>
      <c r="X22" s="357">
        <f t="shared" si="13"/>
        <v>41874</v>
      </c>
      <c r="Y22" s="186" t="str">
        <f t="shared" si="14"/>
        <v>VLĐV</v>
      </c>
      <c r="Z22" s="186" t="str">
        <f t="shared" si="15"/>
        <v>VLX</v>
      </c>
      <c r="AA22" s="186">
        <v>9</v>
      </c>
      <c r="AB22" s="186" t="s">
        <v>1622</v>
      </c>
      <c r="AC22" s="186" t="s">
        <v>1134</v>
      </c>
    </row>
    <row r="23" spans="1:29" s="186" customFormat="1">
      <c r="A23" s="179">
        <v>10</v>
      </c>
      <c r="B23" s="179"/>
      <c r="C23" s="179"/>
      <c r="D23" s="179" t="str">
        <f>'List - Nha'!C12</f>
        <v>LMXAY1</v>
      </c>
      <c r="E23" s="180" t="str">
        <f t="shared" si="5"/>
        <v>Lấy mẫu vữa xi măng xây móng đá hộc</v>
      </c>
      <c r="F23" s="181" t="s">
        <v>1083</v>
      </c>
      <c r="G23" s="181" t="s">
        <v>1084</v>
      </c>
      <c r="H23" s="181" t="str">
        <f t="shared" si="6"/>
        <v>3/LMTH3PC/PYC</v>
      </c>
      <c r="I23" s="181"/>
      <c r="J23" s="181" t="str">
        <f t="shared" si="7"/>
        <v>3/LMTH3PC/LMVX</v>
      </c>
      <c r="K23" s="179"/>
      <c r="L23" s="179">
        <f t="shared" si="8"/>
        <v>23</v>
      </c>
      <c r="M23" s="179">
        <f t="shared" si="9"/>
        <v>8</v>
      </c>
      <c r="N23" s="182">
        <f t="shared" si="10"/>
        <v>41874</v>
      </c>
      <c r="O23" s="179"/>
      <c r="P23" s="179"/>
      <c r="Q23" s="179"/>
      <c r="R23" s="179"/>
      <c r="S23" s="183"/>
      <c r="T23" s="179" t="s">
        <v>856</v>
      </c>
      <c r="U23" s="179" t="s">
        <v>853</v>
      </c>
      <c r="V23" s="179">
        <f t="shared" si="11"/>
        <v>24</v>
      </c>
      <c r="W23" s="179">
        <f t="shared" si="12"/>
        <v>8</v>
      </c>
      <c r="X23" s="182">
        <f t="shared" si="13"/>
        <v>41875</v>
      </c>
      <c r="Y23" s="186" t="str">
        <f t="shared" si="14"/>
        <v>LMVX</v>
      </c>
      <c r="Z23" s="186" t="str">
        <f t="shared" si="15"/>
        <v>LMX</v>
      </c>
      <c r="AA23" s="186">
        <v>10</v>
      </c>
      <c r="AB23" s="186" t="s">
        <v>1623</v>
      </c>
      <c r="AC23" s="186" t="s">
        <v>1626</v>
      </c>
    </row>
    <row r="24" spans="1:29" s="186" customFormat="1">
      <c r="A24" s="359">
        <v>11</v>
      </c>
      <c r="B24" s="359"/>
      <c r="C24" s="359"/>
      <c r="D24" s="359" t="str">
        <f>'List - Nha'!C13</f>
        <v>XAY1</v>
      </c>
      <c r="E24" s="360" t="str">
        <f t="shared" si="5"/>
        <v>Xây móng nhà bằng đá hộc, vữa xi măng mác 75#</v>
      </c>
      <c r="F24" s="361" t="s">
        <v>1083</v>
      </c>
      <c r="G24" s="361" t="s">
        <v>1084</v>
      </c>
      <c r="H24" s="361" t="str">
        <f t="shared" si="6"/>
        <v>3/XAYTH3PC/PYC</v>
      </c>
      <c r="I24" s="361"/>
      <c r="J24" s="361" t="str">
        <f t="shared" si="7"/>
        <v>3/XAYTH3PC/NTCV</v>
      </c>
      <c r="K24" s="359"/>
      <c r="L24" s="359">
        <f t="shared" si="8"/>
        <v>25</v>
      </c>
      <c r="M24" s="359">
        <f t="shared" si="9"/>
        <v>8</v>
      </c>
      <c r="N24" s="362">
        <f t="shared" si="10"/>
        <v>41876</v>
      </c>
      <c r="O24" s="359"/>
      <c r="P24" s="359"/>
      <c r="Q24" s="359"/>
      <c r="R24" s="359"/>
      <c r="S24" s="363"/>
      <c r="T24" s="359" t="s">
        <v>856</v>
      </c>
      <c r="U24" s="359" t="s">
        <v>853</v>
      </c>
      <c r="V24" s="359">
        <f t="shared" si="11"/>
        <v>26</v>
      </c>
      <c r="W24" s="359">
        <f t="shared" si="12"/>
        <v>8</v>
      </c>
      <c r="X24" s="362">
        <f t="shared" si="13"/>
        <v>41877</v>
      </c>
      <c r="Y24" s="186" t="str">
        <f t="shared" si="14"/>
        <v>NTCV</v>
      </c>
      <c r="Z24" s="186" t="str">
        <f t="shared" si="15"/>
        <v>XAY</v>
      </c>
      <c r="AA24" s="186">
        <v>11</v>
      </c>
      <c r="AB24" s="186" t="s">
        <v>1443</v>
      </c>
      <c r="AC24" s="186" t="s">
        <v>1130</v>
      </c>
    </row>
    <row r="25" spans="1:29" s="186" customFormat="1">
      <c r="A25" s="354">
        <v>12</v>
      </c>
      <c r="B25" s="354"/>
      <c r="C25" s="354"/>
      <c r="D25" s="354" t="str">
        <f>'List - Nha'!C14</f>
        <v>VLBT2</v>
      </c>
      <c r="E25" s="355" t="str">
        <f t="shared" si="5"/>
        <v>Vật liệu trước khi đổ bê tông giằng móng</v>
      </c>
      <c r="F25" s="356" t="s">
        <v>1083</v>
      </c>
      <c r="G25" s="356" t="s">
        <v>1084</v>
      </c>
      <c r="H25" s="356" t="str">
        <f t="shared" si="6"/>
        <v>4/VLTH3PC/PYC</v>
      </c>
      <c r="I25" s="356"/>
      <c r="J25" s="356" t="str">
        <f t="shared" si="7"/>
        <v>4/VLTH3PC/VLĐV</v>
      </c>
      <c r="K25" s="354"/>
      <c r="L25" s="354">
        <f t="shared" si="8"/>
        <v>26</v>
      </c>
      <c r="M25" s="354">
        <f t="shared" si="9"/>
        <v>8</v>
      </c>
      <c r="N25" s="357">
        <f t="shared" si="10"/>
        <v>41877</v>
      </c>
      <c r="O25" s="354"/>
      <c r="P25" s="354"/>
      <c r="Q25" s="354"/>
      <c r="R25" s="354"/>
      <c r="S25" s="358"/>
      <c r="T25" s="354" t="s">
        <v>856</v>
      </c>
      <c r="U25" s="354" t="s">
        <v>853</v>
      </c>
      <c r="V25" s="354">
        <f t="shared" si="11"/>
        <v>27</v>
      </c>
      <c r="W25" s="354">
        <f t="shared" si="12"/>
        <v>8</v>
      </c>
      <c r="X25" s="357">
        <f t="shared" si="13"/>
        <v>41878</v>
      </c>
      <c r="Y25" s="186" t="str">
        <f t="shared" si="14"/>
        <v>VLĐV</v>
      </c>
      <c r="Z25" s="186" t="str">
        <f t="shared" si="15"/>
        <v>VLB</v>
      </c>
      <c r="AA25" s="186">
        <v>12</v>
      </c>
      <c r="AB25" s="186" t="s">
        <v>1624</v>
      </c>
      <c r="AC25" s="186" t="s">
        <v>1130</v>
      </c>
    </row>
    <row r="26" spans="1:29" s="186" customFormat="1">
      <c r="A26" s="179">
        <v>13</v>
      </c>
      <c r="B26" s="179"/>
      <c r="C26" s="179"/>
      <c r="D26" s="179" t="str">
        <f>'List - Nha'!C15</f>
        <v>VKBT2</v>
      </c>
      <c r="E26" s="180" t="str">
        <f t="shared" si="5"/>
        <v>Nghiệm thu ván khuôn bê tông giằng móng</v>
      </c>
      <c r="F26" s="181" t="s">
        <v>1083</v>
      </c>
      <c r="G26" s="181" t="s">
        <v>1084</v>
      </c>
      <c r="H26" s="181" t="str">
        <f t="shared" si="6"/>
        <v>4/VKTH3PC/PYC</v>
      </c>
      <c r="I26" s="181"/>
      <c r="J26" s="181" t="str">
        <f t="shared" si="7"/>
        <v>4/VKTH3PC/NTVK</v>
      </c>
      <c r="K26" s="179"/>
      <c r="L26" s="179">
        <f t="shared" si="8"/>
        <v>26</v>
      </c>
      <c r="M26" s="179">
        <f t="shared" si="9"/>
        <v>8</v>
      </c>
      <c r="N26" s="182">
        <f t="shared" si="10"/>
        <v>41877</v>
      </c>
      <c r="O26" s="179"/>
      <c r="P26" s="179"/>
      <c r="Q26" s="179"/>
      <c r="R26" s="179"/>
      <c r="S26" s="183"/>
      <c r="T26" s="179" t="s">
        <v>856</v>
      </c>
      <c r="U26" s="179" t="s">
        <v>853</v>
      </c>
      <c r="V26" s="179">
        <f t="shared" si="11"/>
        <v>27</v>
      </c>
      <c r="W26" s="179">
        <f t="shared" si="12"/>
        <v>8</v>
      </c>
      <c r="X26" s="182">
        <f t="shared" si="13"/>
        <v>41878</v>
      </c>
      <c r="Y26" s="186" t="str">
        <f t="shared" si="14"/>
        <v>NTVK</v>
      </c>
      <c r="Z26" s="186" t="str">
        <f t="shared" si="15"/>
        <v>VKB</v>
      </c>
      <c r="AA26" s="186">
        <v>13</v>
      </c>
      <c r="AB26" s="186" t="s">
        <v>1625</v>
      </c>
      <c r="AC26" s="186" t="s">
        <v>1442</v>
      </c>
    </row>
    <row r="27" spans="1:29" s="186" customFormat="1">
      <c r="A27" s="179">
        <v>14</v>
      </c>
      <c r="B27" s="179"/>
      <c r="C27" s="179"/>
      <c r="D27" s="179" t="str">
        <f>'List - Nha'!C16</f>
        <v>CTBT2</v>
      </c>
      <c r="E27" s="180" t="str">
        <f t="shared" si="5"/>
        <v>Nghiệm thu cốt thép giằng móng</v>
      </c>
      <c r="F27" s="181" t="s">
        <v>1083</v>
      </c>
      <c r="G27" s="181" t="s">
        <v>1084</v>
      </c>
      <c r="H27" s="181" t="str">
        <f t="shared" si="6"/>
        <v>4/CTTH3PC/PYC</v>
      </c>
      <c r="I27" s="181"/>
      <c r="J27" s="181" t="str">
        <f t="shared" si="7"/>
        <v>4/CTTH3PC/NTCT</v>
      </c>
      <c r="K27" s="179"/>
      <c r="L27" s="179">
        <f t="shared" si="8"/>
        <v>26</v>
      </c>
      <c r="M27" s="179">
        <f t="shared" si="9"/>
        <v>8</v>
      </c>
      <c r="N27" s="182">
        <f t="shared" si="10"/>
        <v>41877</v>
      </c>
      <c r="O27" s="179"/>
      <c r="P27" s="179"/>
      <c r="Q27" s="179"/>
      <c r="R27" s="179"/>
      <c r="S27" s="183"/>
      <c r="T27" s="179" t="s">
        <v>856</v>
      </c>
      <c r="U27" s="179" t="s">
        <v>853</v>
      </c>
      <c r="V27" s="179">
        <f t="shared" si="11"/>
        <v>27</v>
      </c>
      <c r="W27" s="179">
        <f t="shared" si="12"/>
        <v>8</v>
      </c>
      <c r="X27" s="182">
        <f t="shared" si="13"/>
        <v>41878</v>
      </c>
      <c r="Y27" s="186" t="str">
        <f t="shared" si="14"/>
        <v>NTCT</v>
      </c>
      <c r="Z27" s="186" t="str">
        <f t="shared" si="15"/>
        <v>CTB</v>
      </c>
    </row>
    <row r="28" spans="1:29" s="186" customFormat="1">
      <c r="A28" s="179">
        <v>15</v>
      </c>
      <c r="B28" s="179"/>
      <c r="C28" s="179"/>
      <c r="D28" s="179" t="str">
        <f>'List - Nha'!C17</f>
        <v>CBBT2</v>
      </c>
      <c r="E28" s="180" t="str">
        <f t="shared" si="5"/>
        <v>Kiểm tra công tác chuẩn bị đổ bê tông giằng móng</v>
      </c>
      <c r="F28" s="181" t="s">
        <v>1083</v>
      </c>
      <c r="G28" s="181" t="s">
        <v>1084</v>
      </c>
      <c r="H28" s="181" t="str">
        <f t="shared" si="6"/>
        <v>4/CBTH3PC/PYC</v>
      </c>
      <c r="I28" s="181"/>
      <c r="J28" s="181" t="str">
        <f t="shared" si="7"/>
        <v>4/CBTH3PC/CBBT</v>
      </c>
      <c r="K28" s="179"/>
      <c r="L28" s="179">
        <f t="shared" si="8"/>
        <v>26</v>
      </c>
      <c r="M28" s="179">
        <f t="shared" si="9"/>
        <v>8</v>
      </c>
      <c r="N28" s="182">
        <f t="shared" si="10"/>
        <v>41877</v>
      </c>
      <c r="O28" s="179"/>
      <c r="P28" s="179"/>
      <c r="Q28" s="179"/>
      <c r="R28" s="179"/>
      <c r="S28" s="183"/>
      <c r="T28" s="179" t="s">
        <v>856</v>
      </c>
      <c r="U28" s="179" t="s">
        <v>853</v>
      </c>
      <c r="V28" s="179">
        <f t="shared" si="11"/>
        <v>27</v>
      </c>
      <c r="W28" s="179">
        <f t="shared" si="12"/>
        <v>8</v>
      </c>
      <c r="X28" s="182">
        <f t="shared" si="13"/>
        <v>41878</v>
      </c>
      <c r="Y28" s="186" t="str">
        <f t="shared" si="14"/>
        <v>CBBT</v>
      </c>
      <c r="Z28" s="186" t="str">
        <f t="shared" si="15"/>
        <v>CBB</v>
      </c>
    </row>
    <row r="29" spans="1:29" s="186" customFormat="1">
      <c r="A29" s="179">
        <v>16</v>
      </c>
      <c r="B29" s="179"/>
      <c r="C29" s="179"/>
      <c r="D29" s="179" t="str">
        <f>'List - Nha'!C18</f>
        <v>GSBT2</v>
      </c>
      <c r="E29" s="180" t="str">
        <f t="shared" si="5"/>
        <v>Giám sát quá trình đổ bê tông giằng móng</v>
      </c>
      <c r="F29" s="181" t="s">
        <v>1083</v>
      </c>
      <c r="G29" s="181" t="s">
        <v>1084</v>
      </c>
      <c r="H29" s="181" t="str">
        <f t="shared" si="6"/>
        <v>4/GSTH3PC/PYC</v>
      </c>
      <c r="I29" s="181"/>
      <c r="J29" s="181" t="str">
        <f t="shared" si="7"/>
        <v>4/GSTH3PC/GSBT</v>
      </c>
      <c r="K29" s="179"/>
      <c r="L29" s="179">
        <f t="shared" si="8"/>
        <v>26</v>
      </c>
      <c r="M29" s="179">
        <f t="shared" si="9"/>
        <v>8</v>
      </c>
      <c r="N29" s="182">
        <f t="shared" si="10"/>
        <v>41877</v>
      </c>
      <c r="O29" s="179"/>
      <c r="P29" s="179"/>
      <c r="Q29" s="179"/>
      <c r="R29" s="179"/>
      <c r="S29" s="183"/>
      <c r="T29" s="179" t="s">
        <v>856</v>
      </c>
      <c r="U29" s="179" t="s">
        <v>853</v>
      </c>
      <c r="V29" s="179">
        <f t="shared" si="11"/>
        <v>27</v>
      </c>
      <c r="W29" s="179">
        <f t="shared" si="12"/>
        <v>8</v>
      </c>
      <c r="X29" s="182">
        <f t="shared" si="13"/>
        <v>41878</v>
      </c>
      <c r="Y29" s="186" t="str">
        <f t="shared" si="14"/>
        <v>GSBT</v>
      </c>
      <c r="Z29" s="186" t="str">
        <f t="shared" si="15"/>
        <v>GSB</v>
      </c>
    </row>
    <row r="30" spans="1:29" s="186" customFormat="1">
      <c r="A30" s="179">
        <v>17</v>
      </c>
      <c r="B30" s="179"/>
      <c r="C30" s="179"/>
      <c r="D30" s="179" t="str">
        <f>'List - Nha'!C19</f>
        <v>LMBT2</v>
      </c>
      <c r="E30" s="180" t="str">
        <f t="shared" si="5"/>
        <v>Lấy mẫu bê tông giằng móng</v>
      </c>
      <c r="F30" s="181" t="s">
        <v>1083</v>
      </c>
      <c r="G30" s="181" t="s">
        <v>1084</v>
      </c>
      <c r="H30" s="181" t="str">
        <f t="shared" si="6"/>
        <v>4/LMTH3PC/PYC</v>
      </c>
      <c r="I30" s="181"/>
      <c r="J30" s="181" t="str">
        <f t="shared" si="7"/>
        <v>4/LMTH3PC/LMBT</v>
      </c>
      <c r="K30" s="179"/>
      <c r="L30" s="179">
        <f t="shared" si="8"/>
        <v>26</v>
      </c>
      <c r="M30" s="179">
        <f t="shared" si="9"/>
        <v>8</v>
      </c>
      <c r="N30" s="182">
        <f t="shared" si="10"/>
        <v>41877</v>
      </c>
      <c r="O30" s="179"/>
      <c r="P30" s="179"/>
      <c r="Q30" s="179"/>
      <c r="R30" s="179"/>
      <c r="S30" s="183"/>
      <c r="T30" s="179" t="s">
        <v>856</v>
      </c>
      <c r="U30" s="179" t="s">
        <v>853</v>
      </c>
      <c r="V30" s="179">
        <f t="shared" si="11"/>
        <v>27</v>
      </c>
      <c r="W30" s="179">
        <f t="shared" si="12"/>
        <v>8</v>
      </c>
      <c r="X30" s="182">
        <f t="shared" si="13"/>
        <v>41878</v>
      </c>
      <c r="Y30" s="186" t="str">
        <f t="shared" si="14"/>
        <v>LMBT</v>
      </c>
      <c r="Z30" s="186" t="str">
        <f t="shared" si="15"/>
        <v>LMB</v>
      </c>
    </row>
    <row r="31" spans="1:29" s="186" customFormat="1">
      <c r="A31" s="179">
        <v>18</v>
      </c>
      <c r="B31" s="179"/>
      <c r="C31" s="179"/>
      <c r="D31" s="179" t="str">
        <f>'List - Nha'!C20</f>
        <v>TVK2</v>
      </c>
      <c r="E31" s="180" t="str">
        <f t="shared" si="5"/>
        <v>Nghiệm thu bê tông giằng móng sau khi tháo ván khuôn</v>
      </c>
      <c r="F31" s="181" t="s">
        <v>1083</v>
      </c>
      <c r="G31" s="181" t="s">
        <v>1084</v>
      </c>
      <c r="H31" s="181" t="str">
        <f t="shared" si="6"/>
        <v>4/TVKTH3PC/PYC</v>
      </c>
      <c r="I31" s="181"/>
      <c r="J31" s="181" t="str">
        <f t="shared" si="7"/>
        <v>4/TVKTH3PC/TVK</v>
      </c>
      <c r="K31" s="179"/>
      <c r="L31" s="179">
        <f t="shared" si="8"/>
        <v>29</v>
      </c>
      <c r="M31" s="179">
        <f t="shared" si="9"/>
        <v>8</v>
      </c>
      <c r="N31" s="182">
        <f t="shared" si="10"/>
        <v>41880</v>
      </c>
      <c r="O31" s="179"/>
      <c r="P31" s="179"/>
      <c r="Q31" s="179"/>
      <c r="R31" s="179"/>
      <c r="S31" s="183"/>
      <c r="T31" s="179" t="s">
        <v>856</v>
      </c>
      <c r="U31" s="179" t="s">
        <v>853</v>
      </c>
      <c r="V31" s="179">
        <f t="shared" si="11"/>
        <v>30</v>
      </c>
      <c r="W31" s="179">
        <f t="shared" si="12"/>
        <v>8</v>
      </c>
      <c r="X31" s="182">
        <f t="shared" si="13"/>
        <v>41881</v>
      </c>
      <c r="Y31" s="186" t="str">
        <f t="shared" si="14"/>
        <v>TVK</v>
      </c>
      <c r="Z31" s="186" t="str">
        <f t="shared" si="15"/>
        <v>TVK</v>
      </c>
    </row>
    <row r="32" spans="1:29" s="186" customFormat="1">
      <c r="A32" s="179">
        <v>19</v>
      </c>
      <c r="B32" s="179"/>
      <c r="C32" s="179"/>
      <c r="D32" s="179" t="str">
        <f>'List - Nha'!C21</f>
        <v>NTBT2</v>
      </c>
      <c r="E32" s="180" t="str">
        <f t="shared" si="5"/>
        <v>Nghiệm thu bê tông giằng móng</v>
      </c>
      <c r="F32" s="181" t="s">
        <v>1083</v>
      </c>
      <c r="G32" s="181" t="s">
        <v>1084</v>
      </c>
      <c r="H32" s="181" t="str">
        <f t="shared" si="6"/>
        <v>4/BTTH3PC/PYC</v>
      </c>
      <c r="I32" s="181"/>
      <c r="J32" s="181" t="str">
        <f t="shared" si="7"/>
        <v>4/BTTH3PC/NTCV</v>
      </c>
      <c r="K32" s="179"/>
      <c r="L32" s="179">
        <f t="shared" si="8"/>
        <v>23</v>
      </c>
      <c r="M32" s="179">
        <f t="shared" si="9"/>
        <v>9</v>
      </c>
      <c r="N32" s="182">
        <f t="shared" si="10"/>
        <v>41905</v>
      </c>
      <c r="O32" s="179"/>
      <c r="P32" s="179"/>
      <c r="Q32" s="179">
        <f t="shared" ref="Q32:Q37" si="19">DAY(S32)</f>
        <v>0</v>
      </c>
      <c r="R32" s="179">
        <f t="shared" ref="R32:R37" si="20">MONTH(S32)</f>
        <v>1</v>
      </c>
      <c r="S32" s="183"/>
      <c r="T32" s="179"/>
      <c r="U32" s="179"/>
      <c r="V32" s="179"/>
      <c r="W32" s="179"/>
      <c r="X32" s="182">
        <f t="shared" si="13"/>
        <v>41906</v>
      </c>
      <c r="Y32" s="186" t="str">
        <f t="shared" si="14"/>
        <v>NTCV</v>
      </c>
      <c r="Z32" s="186" t="str">
        <f t="shared" si="15"/>
        <v>NTB</v>
      </c>
    </row>
    <row r="33" spans="1:26" s="186" customFormat="1">
      <c r="A33" s="359">
        <v>20</v>
      </c>
      <c r="B33" s="359"/>
      <c r="C33" s="359"/>
      <c r="D33" s="359" t="str">
        <f>'List - Nha'!C22</f>
        <v>NTHT1</v>
      </c>
      <c r="E33" s="360" t="str">
        <f t="shared" si="5"/>
        <v>Nghiệm thu hoàn thành phần móng</v>
      </c>
      <c r="F33" s="361" t="s">
        <v>1083</v>
      </c>
      <c r="G33" s="361" t="s">
        <v>1084</v>
      </c>
      <c r="H33" s="361" t="str">
        <f t="shared" si="6"/>
        <v>1/HTMONG/PYC</v>
      </c>
      <c r="I33" s="361"/>
      <c r="J33" s="361" t="str">
        <f t="shared" si="7"/>
        <v>1/HTMONG/CGĐ</v>
      </c>
      <c r="K33" s="359"/>
      <c r="L33" s="359">
        <f t="shared" si="8"/>
        <v>23</v>
      </c>
      <c r="M33" s="359">
        <f t="shared" si="9"/>
        <v>9</v>
      </c>
      <c r="N33" s="362">
        <f t="shared" si="10"/>
        <v>41905</v>
      </c>
      <c r="O33" s="359"/>
      <c r="P33" s="359"/>
      <c r="Q33" s="359">
        <f t="shared" si="19"/>
        <v>0</v>
      </c>
      <c r="R33" s="359">
        <f t="shared" si="20"/>
        <v>1</v>
      </c>
      <c r="S33" s="363"/>
      <c r="T33" s="359"/>
      <c r="U33" s="359"/>
      <c r="V33" s="359"/>
      <c r="W33" s="359"/>
      <c r="X33" s="362">
        <f t="shared" si="13"/>
        <v>41906</v>
      </c>
      <c r="Y33" s="186" t="str">
        <f t="shared" si="14"/>
        <v>CGĐ</v>
      </c>
      <c r="Z33" s="186" t="str">
        <f t="shared" si="15"/>
        <v>NTH</v>
      </c>
    </row>
    <row r="34" spans="1:26" s="186" customFormat="1">
      <c r="A34" s="354">
        <v>21</v>
      </c>
      <c r="B34" s="354"/>
      <c r="C34" s="354"/>
      <c r="D34" s="354" t="str">
        <f>'List - Nha'!C23</f>
        <v>VLXAY2</v>
      </c>
      <c r="E34" s="355" t="str">
        <f t="shared" si="5"/>
        <v>Vật liệu trước khi xây tường, xây cột (từ cốt 0.00 đến cốt lanh tô)</v>
      </c>
      <c r="F34" s="356" t="s">
        <v>1083</v>
      </c>
      <c r="G34" s="356" t="s">
        <v>1084</v>
      </c>
      <c r="H34" s="356" t="str">
        <f t="shared" si="6"/>
        <v>5/VLTH3PC/PYC</v>
      </c>
      <c r="I34" s="356"/>
      <c r="J34" s="356" t="str">
        <f t="shared" si="7"/>
        <v>5/VLTH3PC/VLĐV</v>
      </c>
      <c r="K34" s="354"/>
      <c r="L34" s="354" t="e">
        <f t="shared" si="8"/>
        <v>#NUM!</v>
      </c>
      <c r="M34" s="354" t="e">
        <f t="shared" si="9"/>
        <v>#NUM!</v>
      </c>
      <c r="N34" s="357">
        <f t="shared" si="10"/>
        <v>-1</v>
      </c>
      <c r="O34" s="354"/>
      <c r="P34" s="354"/>
      <c r="Q34" s="354">
        <f t="shared" si="19"/>
        <v>0</v>
      </c>
      <c r="R34" s="354">
        <f t="shared" si="20"/>
        <v>1</v>
      </c>
      <c r="S34" s="358"/>
      <c r="T34" s="354"/>
      <c r="U34" s="354"/>
      <c r="V34" s="354"/>
      <c r="W34" s="354"/>
      <c r="X34" s="357">
        <f t="shared" si="13"/>
        <v>0</v>
      </c>
      <c r="Y34" s="186" t="str">
        <f t="shared" si="14"/>
        <v>VLĐV</v>
      </c>
      <c r="Z34" s="186" t="str">
        <f t="shared" si="15"/>
        <v>VLX</v>
      </c>
    </row>
    <row r="35" spans="1:26" s="186" customFormat="1">
      <c r="A35" s="179">
        <v>22</v>
      </c>
      <c r="B35" s="179"/>
      <c r="C35" s="179"/>
      <c r="D35" s="179" t="str">
        <f>'List - Nha'!C24</f>
        <v>LMXAY2</v>
      </c>
      <c r="E35" s="180" t="str">
        <f t="shared" si="5"/>
        <v>Lấy mẫu vữa xi măng xây tường, xây cột, mác 50# (từ cốt 0.00 đến cốt lanh tô)</v>
      </c>
      <c r="F35" s="181" t="s">
        <v>1083</v>
      </c>
      <c r="G35" s="181" t="s">
        <v>1084</v>
      </c>
      <c r="H35" s="181" t="str">
        <f t="shared" si="6"/>
        <v>5/LMTH3PC/PYC</v>
      </c>
      <c r="I35" s="181"/>
      <c r="J35" s="181" t="str">
        <f t="shared" si="7"/>
        <v>5/LMTH3PC/LMVX</v>
      </c>
      <c r="K35" s="179"/>
      <c r="L35" s="179" t="e">
        <f t="shared" si="8"/>
        <v>#NUM!</v>
      </c>
      <c r="M35" s="179" t="e">
        <f t="shared" si="9"/>
        <v>#NUM!</v>
      </c>
      <c r="N35" s="182">
        <f t="shared" si="10"/>
        <v>-1</v>
      </c>
      <c r="O35" s="179"/>
      <c r="P35" s="179"/>
      <c r="Q35" s="179">
        <f t="shared" si="19"/>
        <v>0</v>
      </c>
      <c r="R35" s="179">
        <f t="shared" si="20"/>
        <v>1</v>
      </c>
      <c r="S35" s="183"/>
      <c r="T35" s="179"/>
      <c r="U35" s="179"/>
      <c r="V35" s="179"/>
      <c r="W35" s="179"/>
      <c r="X35" s="182">
        <f t="shared" si="13"/>
        <v>0</v>
      </c>
      <c r="Y35" s="186" t="str">
        <f t="shared" si="14"/>
        <v>LMVX</v>
      </c>
      <c r="Z35" s="186" t="str">
        <f t="shared" si="15"/>
        <v>LMX</v>
      </c>
    </row>
    <row r="36" spans="1:26" s="186" customFormat="1" ht="31.5">
      <c r="A36" s="179">
        <v>23</v>
      </c>
      <c r="B36" s="179"/>
      <c r="C36" s="179"/>
      <c r="D36" s="179" t="str">
        <f>'List - Nha'!C25</f>
        <v>XAY2</v>
      </c>
      <c r="E36" s="180" t="str">
        <f t="shared" si="5"/>
        <v>Nghiệm thu công tác xây tường nhà bằng gạch chỉ đặc, vữa xi măng mác 50# (từ cốt 0.00 đến cốt lanh tô)</v>
      </c>
      <c r="F36" s="181" t="s">
        <v>1083</v>
      </c>
      <c r="G36" s="181" t="s">
        <v>1084</v>
      </c>
      <c r="H36" s="181" t="str">
        <f t="shared" si="6"/>
        <v>5/XAYTH3PC/PYC</v>
      </c>
      <c r="I36" s="181"/>
      <c r="J36" s="181" t="str">
        <f t="shared" si="7"/>
        <v>5/XAYTH3PC/NTCV</v>
      </c>
      <c r="K36" s="179"/>
      <c r="L36" s="179" t="e">
        <f t="shared" si="8"/>
        <v>#NUM!</v>
      </c>
      <c r="M36" s="179" t="e">
        <f t="shared" si="9"/>
        <v>#NUM!</v>
      </c>
      <c r="N36" s="182">
        <f t="shared" si="10"/>
        <v>-1</v>
      </c>
      <c r="O36" s="179"/>
      <c r="P36" s="179"/>
      <c r="Q36" s="179">
        <f t="shared" si="19"/>
        <v>0</v>
      </c>
      <c r="R36" s="179">
        <f t="shared" si="20"/>
        <v>1</v>
      </c>
      <c r="S36" s="183"/>
      <c r="T36" s="179"/>
      <c r="U36" s="179"/>
      <c r="V36" s="179"/>
      <c r="W36" s="179"/>
      <c r="X36" s="182">
        <f t="shared" si="13"/>
        <v>0</v>
      </c>
      <c r="Y36" s="186" t="str">
        <f t="shared" si="14"/>
        <v>NTCV</v>
      </c>
      <c r="Z36" s="186" t="str">
        <f t="shared" si="15"/>
        <v>XAY</v>
      </c>
    </row>
    <row r="37" spans="1:26" s="186" customFormat="1">
      <c r="A37" s="179">
        <v>24</v>
      </c>
      <c r="B37" s="179"/>
      <c r="C37" s="179"/>
      <c r="D37" s="179" t="str">
        <f>'List - Nha'!C26</f>
        <v>VLBT3</v>
      </c>
      <c r="E37" s="180" t="str">
        <f t="shared" si="5"/>
        <v>Vật liệu trước khi đổ bê tông lanh tô cửa sổ và cửa đi</v>
      </c>
      <c r="F37" s="181" t="s">
        <v>1083</v>
      </c>
      <c r="G37" s="181" t="s">
        <v>1084</v>
      </c>
      <c r="H37" s="181" t="str">
        <f t="shared" si="6"/>
        <v>6/VLTH3PC/PYC</v>
      </c>
      <c r="I37" s="181"/>
      <c r="J37" s="181" t="str">
        <f t="shared" si="7"/>
        <v>6/VLTH3PC/VLĐV</v>
      </c>
      <c r="K37" s="179"/>
      <c r="L37" s="179" t="e">
        <f t="shared" si="8"/>
        <v>#NUM!</v>
      </c>
      <c r="M37" s="179" t="e">
        <f t="shared" si="9"/>
        <v>#NUM!</v>
      </c>
      <c r="N37" s="182">
        <f t="shared" si="10"/>
        <v>-1</v>
      </c>
      <c r="O37" s="179"/>
      <c r="P37" s="179"/>
      <c r="Q37" s="179">
        <f t="shared" si="19"/>
        <v>0</v>
      </c>
      <c r="R37" s="179">
        <f t="shared" si="20"/>
        <v>1</v>
      </c>
      <c r="S37" s="183"/>
      <c r="T37" s="179"/>
      <c r="U37" s="179"/>
      <c r="V37" s="179"/>
      <c r="W37" s="179"/>
      <c r="X37" s="182">
        <f t="shared" si="13"/>
        <v>0</v>
      </c>
      <c r="Y37" s="186" t="str">
        <f t="shared" si="14"/>
        <v>VLĐV</v>
      </c>
      <c r="Z37" s="186" t="str">
        <f t="shared" si="15"/>
        <v>VLB</v>
      </c>
    </row>
    <row r="38" spans="1:26" s="186" customFormat="1">
      <c r="A38" s="179">
        <v>25</v>
      </c>
      <c r="B38" s="179"/>
      <c r="C38" s="179"/>
      <c r="D38" s="179" t="str">
        <f>'List - Nha'!C27</f>
        <v>VKBT3</v>
      </c>
      <c r="E38" s="180" t="str">
        <f t="shared" ref="E38:E49" si="21">VLOOKUP(D38,TUANBV,2,0)</f>
        <v>Nghiệm thu công tác lắp dựng ván khuôn lanh tô cửa sổ và cửa đi</v>
      </c>
      <c r="F38" s="181" t="s">
        <v>1083</v>
      </c>
      <c r="G38" s="181" t="s">
        <v>1084</v>
      </c>
      <c r="H38" s="181" t="str">
        <f t="shared" ref="H38:H49" si="22">VLOOKUP(D38,TUANBV,5,0)&amp;"/PYC"</f>
        <v>6/VKTH3PC/PYC</v>
      </c>
      <c r="I38" s="181"/>
      <c r="J38" s="181" t="str">
        <f t="shared" ref="J38:J49" si="23">VLOOKUP(D38,TUANBV,6,0)&amp;"/"&amp;Y38</f>
        <v>6/VKTH3PC/NTVK</v>
      </c>
      <c r="K38" s="179"/>
      <c r="L38" s="179" t="e">
        <f t="shared" ref="L38:L49" si="24">DAY(N38)</f>
        <v>#NUM!</v>
      </c>
      <c r="M38" s="179" t="e">
        <f t="shared" ref="M38:M49" si="25">MONTH(N38)</f>
        <v>#NUM!</v>
      </c>
      <c r="N38" s="182">
        <f t="shared" ref="N38:N49" si="26">VLOOKUP(D38,TUANBV,9,0)</f>
        <v>-1</v>
      </c>
      <c r="O38" s="179"/>
      <c r="P38" s="179"/>
      <c r="Q38" s="179">
        <f t="shared" ref="Q38:Q49" si="27">DAY(S38)</f>
        <v>0</v>
      </c>
      <c r="R38" s="179">
        <f t="shared" ref="R38:R49" si="28">MONTH(S38)</f>
        <v>1</v>
      </c>
      <c r="S38" s="183"/>
      <c r="T38" s="179"/>
      <c r="U38" s="179"/>
      <c r="V38" s="179"/>
      <c r="W38" s="179"/>
      <c r="X38" s="182">
        <f t="shared" ref="X38:X49" si="29">VLOOKUP(D38,TUANBV,14,0)</f>
        <v>0</v>
      </c>
      <c r="Y38" s="186" t="str">
        <f t="shared" si="14"/>
        <v>NTVK</v>
      </c>
      <c r="Z38" s="186" t="str">
        <f t="shared" si="15"/>
        <v>VKB</v>
      </c>
    </row>
    <row r="39" spans="1:26" s="186" customFormat="1">
      <c r="A39" s="179">
        <v>26</v>
      </c>
      <c r="B39" s="179"/>
      <c r="C39" s="179"/>
      <c r="D39" s="179" t="str">
        <f>'List - Nha'!C28</f>
        <v>CTBT3</v>
      </c>
      <c r="E39" s="180" t="str">
        <f t="shared" si="21"/>
        <v>Nghiệm thu công tác lắp dựng cốt thép lanh tô cửa sổ và cửa đi</v>
      </c>
      <c r="F39" s="181" t="s">
        <v>1083</v>
      </c>
      <c r="G39" s="181" t="s">
        <v>1084</v>
      </c>
      <c r="H39" s="181" t="str">
        <f t="shared" si="22"/>
        <v>6/CTTH3PC/PYC</v>
      </c>
      <c r="I39" s="181"/>
      <c r="J39" s="181" t="str">
        <f t="shared" si="23"/>
        <v>6/CTTH3PC/NTCT</v>
      </c>
      <c r="K39" s="179"/>
      <c r="L39" s="179" t="e">
        <f t="shared" si="24"/>
        <v>#NUM!</v>
      </c>
      <c r="M39" s="179" t="e">
        <f t="shared" si="25"/>
        <v>#NUM!</v>
      </c>
      <c r="N39" s="182">
        <f t="shared" si="26"/>
        <v>-1</v>
      </c>
      <c r="O39" s="179"/>
      <c r="P39" s="179"/>
      <c r="Q39" s="179">
        <f t="shared" si="27"/>
        <v>0</v>
      </c>
      <c r="R39" s="179">
        <f t="shared" si="28"/>
        <v>1</v>
      </c>
      <c r="S39" s="183"/>
      <c r="T39" s="179"/>
      <c r="U39" s="179"/>
      <c r="V39" s="179"/>
      <c r="W39" s="179"/>
      <c r="X39" s="182">
        <f t="shared" si="29"/>
        <v>0</v>
      </c>
      <c r="Y39" s="186" t="str">
        <f t="shared" si="14"/>
        <v>NTCT</v>
      </c>
      <c r="Z39" s="186" t="str">
        <f t="shared" si="15"/>
        <v>CTB</v>
      </c>
    </row>
    <row r="40" spans="1:26" s="186" customFormat="1">
      <c r="A40" s="179">
        <v>27</v>
      </c>
      <c r="B40" s="179"/>
      <c r="C40" s="179"/>
      <c r="D40" s="179" t="str">
        <f>'List - Nha'!C29</f>
        <v>CBBT3</v>
      </c>
      <c r="E40" s="180" t="str">
        <f t="shared" si="21"/>
        <v>Kiểm tra công tác chuẩn bị trước khi đổ bê tông lanh tô cửa sổ và cửa đi</v>
      </c>
      <c r="F40" s="181" t="s">
        <v>1083</v>
      </c>
      <c r="G40" s="181" t="s">
        <v>1084</v>
      </c>
      <c r="H40" s="181" t="str">
        <f t="shared" si="22"/>
        <v>6/CBTH3PC/PYC</v>
      </c>
      <c r="I40" s="181"/>
      <c r="J40" s="181" t="str">
        <f t="shared" si="23"/>
        <v>6/CBTH3PC/CBBT</v>
      </c>
      <c r="K40" s="179"/>
      <c r="L40" s="179" t="e">
        <f t="shared" si="24"/>
        <v>#NUM!</v>
      </c>
      <c r="M40" s="179" t="e">
        <f t="shared" si="25"/>
        <v>#NUM!</v>
      </c>
      <c r="N40" s="182">
        <f t="shared" si="26"/>
        <v>-1</v>
      </c>
      <c r="O40" s="179"/>
      <c r="P40" s="179"/>
      <c r="Q40" s="179">
        <f t="shared" si="27"/>
        <v>0</v>
      </c>
      <c r="R40" s="179">
        <f t="shared" si="28"/>
        <v>1</v>
      </c>
      <c r="S40" s="183"/>
      <c r="T40" s="179"/>
      <c r="U40" s="179"/>
      <c r="V40" s="179"/>
      <c r="W40" s="179"/>
      <c r="X40" s="182">
        <f t="shared" si="29"/>
        <v>0</v>
      </c>
      <c r="Y40" s="186" t="str">
        <f t="shared" si="14"/>
        <v>CBBT</v>
      </c>
      <c r="Z40" s="186" t="str">
        <f t="shared" si="15"/>
        <v>CBB</v>
      </c>
    </row>
    <row r="41" spans="1:26" s="186" customFormat="1">
      <c r="A41" s="179">
        <v>28</v>
      </c>
      <c r="B41" s="179"/>
      <c r="C41" s="179"/>
      <c r="D41" s="179" t="str">
        <f>'List - Nha'!C30</f>
        <v>GSBT3</v>
      </c>
      <c r="E41" s="180" t="str">
        <f t="shared" si="21"/>
        <v>Giám sát quá trình đổ bê tông lanh tô cửa sổ và cửa đi</v>
      </c>
      <c r="F41" s="181" t="s">
        <v>1083</v>
      </c>
      <c r="G41" s="181" t="s">
        <v>1084</v>
      </c>
      <c r="H41" s="181" t="str">
        <f t="shared" si="22"/>
        <v>6/GSTH3PC/PYC</v>
      </c>
      <c r="I41" s="181"/>
      <c r="J41" s="181" t="str">
        <f t="shared" si="23"/>
        <v>6/GSTH3PC/GSBT</v>
      </c>
      <c r="K41" s="179"/>
      <c r="L41" s="179" t="e">
        <f t="shared" si="24"/>
        <v>#NUM!</v>
      </c>
      <c r="M41" s="179" t="e">
        <f t="shared" si="25"/>
        <v>#NUM!</v>
      </c>
      <c r="N41" s="182">
        <f t="shared" si="26"/>
        <v>-1</v>
      </c>
      <c r="O41" s="179"/>
      <c r="P41" s="179"/>
      <c r="Q41" s="179">
        <f t="shared" si="27"/>
        <v>0</v>
      </c>
      <c r="R41" s="179">
        <f t="shared" si="28"/>
        <v>1</v>
      </c>
      <c r="S41" s="183"/>
      <c r="T41" s="179"/>
      <c r="U41" s="179"/>
      <c r="V41" s="179"/>
      <c r="W41" s="179"/>
      <c r="X41" s="182">
        <f t="shared" si="29"/>
        <v>0</v>
      </c>
      <c r="Y41" s="186" t="str">
        <f t="shared" si="14"/>
        <v>GSBT</v>
      </c>
      <c r="Z41" s="186" t="str">
        <f t="shared" si="15"/>
        <v>GSB</v>
      </c>
    </row>
    <row r="42" spans="1:26" s="186" customFormat="1">
      <c r="A42" s="179">
        <v>29</v>
      </c>
      <c r="B42" s="179"/>
      <c r="C42" s="179"/>
      <c r="D42" s="179" t="str">
        <f>'List - Nha'!C31</f>
        <v>LMBT3</v>
      </c>
      <c r="E42" s="180" t="str">
        <f t="shared" si="21"/>
        <v>Lấy mẫu bê tông lanh tô cửa sổ và cửa đi</v>
      </c>
      <c r="F42" s="181" t="s">
        <v>1083</v>
      </c>
      <c r="G42" s="181" t="s">
        <v>1084</v>
      </c>
      <c r="H42" s="181" t="str">
        <f t="shared" si="22"/>
        <v>6/LMTH3PC/PYC</v>
      </c>
      <c r="I42" s="181"/>
      <c r="J42" s="181" t="str">
        <f t="shared" si="23"/>
        <v>6/LMTH3PC/LMBT</v>
      </c>
      <c r="K42" s="179"/>
      <c r="L42" s="179" t="e">
        <f t="shared" si="24"/>
        <v>#NUM!</v>
      </c>
      <c r="M42" s="179" t="e">
        <f t="shared" si="25"/>
        <v>#NUM!</v>
      </c>
      <c r="N42" s="182">
        <f t="shared" si="26"/>
        <v>-1</v>
      </c>
      <c r="O42" s="179"/>
      <c r="P42" s="179"/>
      <c r="Q42" s="179">
        <f t="shared" si="27"/>
        <v>0</v>
      </c>
      <c r="R42" s="179">
        <f t="shared" si="28"/>
        <v>1</v>
      </c>
      <c r="S42" s="183"/>
      <c r="T42" s="179"/>
      <c r="U42" s="179"/>
      <c r="V42" s="179"/>
      <c r="W42" s="179"/>
      <c r="X42" s="182">
        <f t="shared" si="29"/>
        <v>0</v>
      </c>
      <c r="Y42" s="186" t="str">
        <f t="shared" si="14"/>
        <v>LMBT</v>
      </c>
      <c r="Z42" s="186" t="str">
        <f t="shared" si="15"/>
        <v>LMB</v>
      </c>
    </row>
    <row r="43" spans="1:26" s="186" customFormat="1">
      <c r="A43" s="179">
        <v>30</v>
      </c>
      <c r="B43" s="179"/>
      <c r="C43" s="179"/>
      <c r="D43" s="179" t="str">
        <f>'List - Nha'!C32</f>
        <v>NTBT3</v>
      </c>
      <c r="E43" s="180" t="str">
        <f t="shared" si="21"/>
        <v>Nghiệm thu bê tông lanh tô cửa sổ và cửa đi</v>
      </c>
      <c r="F43" s="181" t="s">
        <v>1083</v>
      </c>
      <c r="G43" s="181" t="s">
        <v>1084</v>
      </c>
      <c r="H43" s="181" t="str">
        <f t="shared" si="22"/>
        <v>6/BTTH3PC/PYC</v>
      </c>
      <c r="I43" s="181"/>
      <c r="J43" s="181" t="str">
        <f t="shared" si="23"/>
        <v>6/BTTH3PC/NTCV</v>
      </c>
      <c r="K43" s="179"/>
      <c r="L43" s="179" t="e">
        <f t="shared" si="24"/>
        <v>#NUM!</v>
      </c>
      <c r="M43" s="179" t="e">
        <f t="shared" si="25"/>
        <v>#NUM!</v>
      </c>
      <c r="N43" s="182">
        <f t="shared" si="26"/>
        <v>-1</v>
      </c>
      <c r="O43" s="179"/>
      <c r="P43" s="179"/>
      <c r="Q43" s="179">
        <f t="shared" si="27"/>
        <v>0</v>
      </c>
      <c r="R43" s="179">
        <f t="shared" si="28"/>
        <v>1</v>
      </c>
      <c r="S43" s="183"/>
      <c r="T43" s="179"/>
      <c r="U43" s="179"/>
      <c r="V43" s="179"/>
      <c r="W43" s="179"/>
      <c r="X43" s="182">
        <f t="shared" si="29"/>
        <v>0</v>
      </c>
      <c r="Y43" s="186" t="str">
        <f t="shared" si="14"/>
        <v>NTCV</v>
      </c>
      <c r="Z43" s="186" t="str">
        <f t="shared" si="15"/>
        <v>NTB</v>
      </c>
    </row>
    <row r="44" spans="1:26" s="186" customFormat="1">
      <c r="A44" s="179">
        <v>31</v>
      </c>
      <c r="B44" s="179"/>
      <c r="C44" s="179"/>
      <c r="D44" s="179" t="str">
        <f>'List - Nha'!C33</f>
        <v>VLXAY3</v>
      </c>
      <c r="E44" s="180" t="str">
        <f t="shared" si="21"/>
        <v>Vật liệu trước khi xây tường, xây cột (từ cốt lanh tô đến cốt +3.60)</v>
      </c>
      <c r="F44" s="181" t="s">
        <v>1083</v>
      </c>
      <c r="G44" s="181" t="s">
        <v>1084</v>
      </c>
      <c r="H44" s="181" t="str">
        <f t="shared" si="22"/>
        <v>7/VLTH3PC/PYC</v>
      </c>
      <c r="I44" s="181"/>
      <c r="J44" s="181" t="str">
        <f t="shared" si="23"/>
        <v>7/VLTH3PC/VLĐV</v>
      </c>
      <c r="K44" s="179"/>
      <c r="L44" s="179" t="e">
        <f t="shared" si="24"/>
        <v>#NUM!</v>
      </c>
      <c r="M44" s="179" t="e">
        <f t="shared" si="25"/>
        <v>#NUM!</v>
      </c>
      <c r="N44" s="182">
        <f t="shared" si="26"/>
        <v>-1</v>
      </c>
      <c r="O44" s="179"/>
      <c r="P44" s="179"/>
      <c r="Q44" s="179">
        <f t="shared" si="27"/>
        <v>0</v>
      </c>
      <c r="R44" s="179">
        <f t="shared" si="28"/>
        <v>1</v>
      </c>
      <c r="S44" s="183"/>
      <c r="T44" s="179"/>
      <c r="U44" s="179"/>
      <c r="V44" s="179"/>
      <c r="W44" s="179"/>
      <c r="X44" s="182">
        <f t="shared" si="29"/>
        <v>0</v>
      </c>
      <c r="Y44" s="186" t="str">
        <f t="shared" si="14"/>
        <v>VLĐV</v>
      </c>
      <c r="Z44" s="186" t="str">
        <f t="shared" si="15"/>
        <v>VLX</v>
      </c>
    </row>
    <row r="45" spans="1:26" s="186" customFormat="1">
      <c r="A45" s="179">
        <v>32</v>
      </c>
      <c r="B45" s="179"/>
      <c r="C45" s="179"/>
      <c r="D45" s="179" t="str">
        <f>'List - Nha'!C34</f>
        <v>LMXAY3</v>
      </c>
      <c r="E45" s="180" t="str">
        <f t="shared" si="21"/>
        <v>Lấy mẫu vữa xi măng xây tường, xây cột, mác 50# (từ cốt lanh tô đến cốt +3.60)</v>
      </c>
      <c r="F45" s="181" t="s">
        <v>1083</v>
      </c>
      <c r="G45" s="181" t="s">
        <v>1084</v>
      </c>
      <c r="H45" s="181" t="str">
        <f t="shared" si="22"/>
        <v>7/LMTH3PC/PYC</v>
      </c>
      <c r="I45" s="181"/>
      <c r="J45" s="181" t="str">
        <f t="shared" si="23"/>
        <v>7/LMTH3PC/LMVX</v>
      </c>
      <c r="K45" s="179"/>
      <c r="L45" s="179" t="e">
        <f t="shared" si="24"/>
        <v>#NUM!</v>
      </c>
      <c r="M45" s="179" t="e">
        <f t="shared" si="25"/>
        <v>#NUM!</v>
      </c>
      <c r="N45" s="182">
        <f t="shared" si="26"/>
        <v>-1</v>
      </c>
      <c r="O45" s="179"/>
      <c r="P45" s="179"/>
      <c r="Q45" s="179">
        <f t="shared" si="27"/>
        <v>0</v>
      </c>
      <c r="R45" s="179">
        <f t="shared" si="28"/>
        <v>1</v>
      </c>
      <c r="S45" s="183"/>
      <c r="T45" s="179"/>
      <c r="U45" s="179"/>
      <c r="V45" s="179"/>
      <c r="W45" s="179"/>
      <c r="X45" s="182">
        <f t="shared" si="29"/>
        <v>0</v>
      </c>
      <c r="Y45" s="186" t="str">
        <f t="shared" si="14"/>
        <v>LMVX</v>
      </c>
      <c r="Z45" s="186" t="str">
        <f t="shared" si="15"/>
        <v>LMX</v>
      </c>
    </row>
    <row r="46" spans="1:26" s="186" customFormat="1" ht="31.5">
      <c r="A46" s="179">
        <v>33</v>
      </c>
      <c r="B46" s="179"/>
      <c r="C46" s="179"/>
      <c r="D46" s="179" t="str">
        <f>'List - Nha'!C35</f>
        <v>XAY3</v>
      </c>
      <c r="E46" s="180" t="str">
        <f t="shared" si="21"/>
        <v>Nghiệm thu công tác xây tường nhà bằng gạch chỉ đặc, vữa xi măng mác 50# (từ cốt lanh tô đến cốt +3.60)</v>
      </c>
      <c r="F46" s="181" t="s">
        <v>1083</v>
      </c>
      <c r="G46" s="181" t="s">
        <v>1084</v>
      </c>
      <c r="H46" s="181" t="str">
        <f t="shared" si="22"/>
        <v>7/XAYTH3PC/PYC</v>
      </c>
      <c r="I46" s="181"/>
      <c r="J46" s="181" t="str">
        <f t="shared" si="23"/>
        <v>7/XAYTH3PC/NTCV</v>
      </c>
      <c r="K46" s="179"/>
      <c r="L46" s="179" t="e">
        <f t="shared" si="24"/>
        <v>#NUM!</v>
      </c>
      <c r="M46" s="179" t="e">
        <f t="shared" si="25"/>
        <v>#NUM!</v>
      </c>
      <c r="N46" s="182">
        <f t="shared" si="26"/>
        <v>-1</v>
      </c>
      <c r="O46" s="179"/>
      <c r="P46" s="179"/>
      <c r="Q46" s="179">
        <f t="shared" si="27"/>
        <v>0</v>
      </c>
      <c r="R46" s="179">
        <f t="shared" si="28"/>
        <v>1</v>
      </c>
      <c r="S46" s="183"/>
      <c r="T46" s="179"/>
      <c r="U46" s="179"/>
      <c r="V46" s="179"/>
      <c r="W46" s="179"/>
      <c r="X46" s="182">
        <f t="shared" si="29"/>
        <v>0</v>
      </c>
      <c r="Y46" s="186" t="str">
        <f t="shared" si="14"/>
        <v>NTCV</v>
      </c>
      <c r="Z46" s="186" t="str">
        <f t="shared" si="15"/>
        <v>XAY</v>
      </c>
    </row>
    <row r="47" spans="1:26" s="186" customFormat="1" ht="31.5">
      <c r="A47" s="179">
        <v>34</v>
      </c>
      <c r="B47" s="179"/>
      <c r="C47" s="179"/>
      <c r="D47" s="179" t="str">
        <f>'List - Nha'!C36</f>
        <v>VLBT4</v>
      </c>
      <c r="E47" s="180" t="str">
        <f t="shared" si="21"/>
        <v>Vật liệu trước khi đổ bê tông dầm D1, D2, D3, D4, D4A, D4B, bê tông sàn, sê nô thu nước</v>
      </c>
      <c r="F47" s="181" t="s">
        <v>1083</v>
      </c>
      <c r="G47" s="181" t="s">
        <v>1084</v>
      </c>
      <c r="H47" s="181" t="str">
        <f t="shared" si="22"/>
        <v>8/VLTH3PC/PYC</v>
      </c>
      <c r="I47" s="181"/>
      <c r="J47" s="181" t="str">
        <f t="shared" si="23"/>
        <v>8/VLTH3PC/VLĐV</v>
      </c>
      <c r="K47" s="179"/>
      <c r="L47" s="179" t="e">
        <f t="shared" si="24"/>
        <v>#NUM!</v>
      </c>
      <c r="M47" s="179" t="e">
        <f t="shared" si="25"/>
        <v>#NUM!</v>
      </c>
      <c r="N47" s="182">
        <f t="shared" si="26"/>
        <v>-1</v>
      </c>
      <c r="O47" s="179"/>
      <c r="P47" s="179"/>
      <c r="Q47" s="179">
        <f t="shared" si="27"/>
        <v>0</v>
      </c>
      <c r="R47" s="179">
        <f t="shared" si="28"/>
        <v>1</v>
      </c>
      <c r="S47" s="183"/>
      <c r="T47" s="179"/>
      <c r="U47" s="179"/>
      <c r="V47" s="179"/>
      <c r="W47" s="179"/>
      <c r="X47" s="182">
        <f t="shared" si="29"/>
        <v>0</v>
      </c>
      <c r="Y47" s="186" t="str">
        <f t="shared" si="14"/>
        <v>VLĐV</v>
      </c>
      <c r="Z47" s="186" t="str">
        <f t="shared" si="15"/>
        <v>VLB</v>
      </c>
    </row>
    <row r="48" spans="1:26" s="186" customFormat="1" ht="31.5">
      <c r="A48" s="179">
        <v>35</v>
      </c>
      <c r="B48" s="179"/>
      <c r="C48" s="179"/>
      <c r="D48" s="179" t="str">
        <f>'List - Nha'!C37</f>
        <v>VKBT4</v>
      </c>
      <c r="E48" s="180" t="str">
        <f t="shared" si="21"/>
        <v>Nghiệm thu ván khuôn bê tông dầm D1, D2, D3, D4, D4A, D4B, bê tông sàn, sê nô thu nước</v>
      </c>
      <c r="F48" s="181" t="s">
        <v>1083</v>
      </c>
      <c r="G48" s="181" t="s">
        <v>1084</v>
      </c>
      <c r="H48" s="181" t="str">
        <f t="shared" si="22"/>
        <v>8/VKTH3PC/PYC</v>
      </c>
      <c r="I48" s="181"/>
      <c r="J48" s="181" t="str">
        <f t="shared" si="23"/>
        <v>8/VKTH3PC/NTVK</v>
      </c>
      <c r="K48" s="179"/>
      <c r="L48" s="179" t="e">
        <f t="shared" si="24"/>
        <v>#NUM!</v>
      </c>
      <c r="M48" s="179" t="e">
        <f t="shared" si="25"/>
        <v>#NUM!</v>
      </c>
      <c r="N48" s="182">
        <f t="shared" si="26"/>
        <v>-1</v>
      </c>
      <c r="O48" s="179"/>
      <c r="P48" s="179"/>
      <c r="Q48" s="179">
        <f t="shared" si="27"/>
        <v>0</v>
      </c>
      <c r="R48" s="179">
        <f t="shared" si="28"/>
        <v>1</v>
      </c>
      <c r="S48" s="183"/>
      <c r="T48" s="179"/>
      <c r="U48" s="179"/>
      <c r="V48" s="179"/>
      <c r="W48" s="179"/>
      <c r="X48" s="182">
        <f t="shared" si="29"/>
        <v>0</v>
      </c>
      <c r="Y48" s="186" t="str">
        <f t="shared" si="14"/>
        <v>NTVK</v>
      </c>
      <c r="Z48" s="186" t="str">
        <f t="shared" si="15"/>
        <v>VKB</v>
      </c>
    </row>
    <row r="49" spans="1:26" s="186" customFormat="1" ht="31.5">
      <c r="A49" s="179">
        <v>36</v>
      </c>
      <c r="B49" s="179"/>
      <c r="C49" s="179"/>
      <c r="D49" s="179" t="str">
        <f>'List - Nha'!C38</f>
        <v>CTBT4</v>
      </c>
      <c r="E49" s="180" t="str">
        <f t="shared" si="21"/>
        <v>Nghiệm thu cốt thép dầm D1, D2, D3, D4, D4A, D4B, bê tông sàn, sê nô thu nước</v>
      </c>
      <c r="F49" s="181" t="s">
        <v>1083</v>
      </c>
      <c r="G49" s="181" t="s">
        <v>1084</v>
      </c>
      <c r="H49" s="181" t="str">
        <f t="shared" si="22"/>
        <v>8/CTTH3PC/PYC</v>
      </c>
      <c r="I49" s="181"/>
      <c r="J49" s="181" t="str">
        <f t="shared" si="23"/>
        <v>8/CTTH3PC/NTCT</v>
      </c>
      <c r="K49" s="179"/>
      <c r="L49" s="179" t="e">
        <f t="shared" si="24"/>
        <v>#NUM!</v>
      </c>
      <c r="M49" s="179" t="e">
        <f t="shared" si="25"/>
        <v>#NUM!</v>
      </c>
      <c r="N49" s="182">
        <f t="shared" si="26"/>
        <v>-1</v>
      </c>
      <c r="O49" s="179"/>
      <c r="P49" s="179"/>
      <c r="Q49" s="179">
        <f t="shared" si="27"/>
        <v>0</v>
      </c>
      <c r="R49" s="179">
        <f t="shared" si="28"/>
        <v>1</v>
      </c>
      <c r="S49" s="183"/>
      <c r="T49" s="179"/>
      <c r="U49" s="179"/>
      <c r="V49" s="179"/>
      <c r="W49" s="179"/>
      <c r="X49" s="182">
        <f t="shared" si="29"/>
        <v>0</v>
      </c>
      <c r="Y49" s="186" t="str">
        <f t="shared" si="14"/>
        <v>NTCT</v>
      </c>
      <c r="Z49" s="186" t="str">
        <f t="shared" si="15"/>
        <v>CTB</v>
      </c>
    </row>
    <row r="50" spans="1:26" s="186" customFormat="1" ht="31.5">
      <c r="A50" s="179">
        <v>37</v>
      </c>
      <c r="B50" s="179"/>
      <c r="C50" s="179"/>
      <c r="D50" s="179" t="str">
        <f>'List - Nha'!C39</f>
        <v>CBBT4</v>
      </c>
      <c r="E50" s="180" t="str">
        <f t="shared" ref="E50:E113" si="30">VLOOKUP(D50,TUANBV,2,0)</f>
        <v>Kiểm tra công tác chuẩn bị đổ bê tông dầm D1, D2, D3, D4, D4A, D4B, bê tông sàn, sê nô thu nước</v>
      </c>
      <c r="F50" s="181" t="s">
        <v>1083</v>
      </c>
      <c r="G50" s="181" t="s">
        <v>1084</v>
      </c>
      <c r="H50" s="181" t="str">
        <f t="shared" ref="H50:H113" si="31">VLOOKUP(D50,TUANBV,5,0)&amp;"/PYC"</f>
        <v>8/CBTH3PC/PYC</v>
      </c>
      <c r="I50" s="181"/>
      <c r="J50" s="181" t="str">
        <f t="shared" ref="J50:J113" si="32">VLOOKUP(D50,TUANBV,6,0)&amp;"/"&amp;Y50</f>
        <v>8/CBTH3PC/CBBT</v>
      </c>
      <c r="K50" s="179"/>
      <c r="L50" s="179" t="e">
        <f t="shared" ref="L50:L113" si="33">DAY(N50)</f>
        <v>#NUM!</v>
      </c>
      <c r="M50" s="179" t="e">
        <f t="shared" ref="M50:M113" si="34">MONTH(N50)</f>
        <v>#NUM!</v>
      </c>
      <c r="N50" s="182">
        <f t="shared" ref="N50:N113" si="35">VLOOKUP(D50,TUANBV,9,0)</f>
        <v>-1</v>
      </c>
      <c r="O50" s="179"/>
      <c r="P50" s="179"/>
      <c r="Q50" s="179">
        <f t="shared" ref="Q50:Q113" si="36">DAY(S50)</f>
        <v>0</v>
      </c>
      <c r="R50" s="179">
        <f t="shared" ref="R50:R113" si="37">MONTH(S50)</f>
        <v>1</v>
      </c>
      <c r="S50" s="183"/>
      <c r="T50" s="179"/>
      <c r="U50" s="179"/>
      <c r="V50" s="179"/>
      <c r="W50" s="179"/>
      <c r="X50" s="182">
        <f t="shared" ref="X50:X113" si="38">VLOOKUP(D50,TUANBV,14,0)</f>
        <v>0</v>
      </c>
      <c r="Y50" s="186" t="str">
        <f t="shared" si="14"/>
        <v>CBBT</v>
      </c>
      <c r="Z50" s="186" t="str">
        <f t="shared" si="15"/>
        <v>CBB</v>
      </c>
    </row>
    <row r="51" spans="1:26" s="186" customFormat="1" ht="31.5">
      <c r="A51" s="179">
        <v>38</v>
      </c>
      <c r="B51" s="179"/>
      <c r="C51" s="179"/>
      <c r="D51" s="179" t="str">
        <f>'List - Nha'!C40</f>
        <v>GSBT4</v>
      </c>
      <c r="E51" s="180" t="str">
        <f t="shared" si="30"/>
        <v>Giám sát quá trình đổ bê tông dầm D1, D2, D3, D4, D4A, D4B, bê tông sàn, sê nô thu nước</v>
      </c>
      <c r="F51" s="181" t="s">
        <v>1083</v>
      </c>
      <c r="G51" s="181" t="s">
        <v>1084</v>
      </c>
      <c r="H51" s="181" t="str">
        <f t="shared" si="31"/>
        <v>8/GSTH3PC/PYC</v>
      </c>
      <c r="I51" s="181"/>
      <c r="J51" s="181" t="str">
        <f t="shared" si="32"/>
        <v>8/GSTH3PC/GSBT</v>
      </c>
      <c r="K51" s="179"/>
      <c r="L51" s="179" t="e">
        <f t="shared" si="33"/>
        <v>#NUM!</v>
      </c>
      <c r="M51" s="179" t="e">
        <f t="shared" si="34"/>
        <v>#NUM!</v>
      </c>
      <c r="N51" s="182">
        <f t="shared" si="35"/>
        <v>-1</v>
      </c>
      <c r="O51" s="179"/>
      <c r="P51" s="179"/>
      <c r="Q51" s="179">
        <f t="shared" si="36"/>
        <v>0</v>
      </c>
      <c r="R51" s="179">
        <f t="shared" si="37"/>
        <v>1</v>
      </c>
      <c r="S51" s="183"/>
      <c r="T51" s="179"/>
      <c r="U51" s="179"/>
      <c r="V51" s="179"/>
      <c r="W51" s="179"/>
      <c r="X51" s="182">
        <f t="shared" si="38"/>
        <v>0</v>
      </c>
      <c r="Y51" s="186" t="str">
        <f t="shared" si="14"/>
        <v>GSBT</v>
      </c>
      <c r="Z51" s="186" t="str">
        <f t="shared" si="15"/>
        <v>GSB</v>
      </c>
    </row>
    <row r="52" spans="1:26" s="186" customFormat="1">
      <c r="A52" s="179">
        <v>39</v>
      </c>
      <c r="B52" s="179"/>
      <c r="C52" s="179"/>
      <c r="D52" s="179" t="str">
        <f>'List - Nha'!C41</f>
        <v>LMBT4</v>
      </c>
      <c r="E52" s="180" t="str">
        <f t="shared" si="30"/>
        <v>Lấy mẫu bê tông dầm D1, D2, D3, D4, D4A, D4B, bê tông sàn, sê nô thu nước</v>
      </c>
      <c r="F52" s="181" t="s">
        <v>1083</v>
      </c>
      <c r="G52" s="181" t="s">
        <v>1084</v>
      </c>
      <c r="H52" s="181" t="str">
        <f t="shared" si="31"/>
        <v>8/LMTH3PC/PYC</v>
      </c>
      <c r="I52" s="181"/>
      <c r="J52" s="181" t="str">
        <f t="shared" si="32"/>
        <v>8/LMTH3PC/LMBT</v>
      </c>
      <c r="K52" s="179"/>
      <c r="L52" s="179" t="e">
        <f t="shared" si="33"/>
        <v>#NUM!</v>
      </c>
      <c r="M52" s="179" t="e">
        <f t="shared" si="34"/>
        <v>#NUM!</v>
      </c>
      <c r="N52" s="182">
        <f t="shared" si="35"/>
        <v>-1</v>
      </c>
      <c r="O52" s="179"/>
      <c r="P52" s="179"/>
      <c r="Q52" s="179">
        <f t="shared" si="36"/>
        <v>0</v>
      </c>
      <c r="R52" s="179">
        <f t="shared" si="37"/>
        <v>1</v>
      </c>
      <c r="S52" s="183"/>
      <c r="T52" s="179"/>
      <c r="U52" s="179"/>
      <c r="V52" s="179"/>
      <c r="W52" s="179"/>
      <c r="X52" s="182">
        <f t="shared" si="38"/>
        <v>0</v>
      </c>
      <c r="Y52" s="186" t="str">
        <f t="shared" si="14"/>
        <v>LMBT</v>
      </c>
      <c r="Z52" s="186" t="str">
        <f t="shared" si="15"/>
        <v>LMB</v>
      </c>
    </row>
    <row r="53" spans="1:26" s="186" customFormat="1" ht="31.5">
      <c r="A53" s="179">
        <v>40</v>
      </c>
      <c r="B53" s="179"/>
      <c r="C53" s="179"/>
      <c r="D53" s="179" t="str">
        <f>'List - Nha'!C42</f>
        <v>TVK4</v>
      </c>
      <c r="E53" s="180" t="str">
        <f t="shared" si="30"/>
        <v>Tháo ván khuôn bê tông dầm D1, D2, D3, D4, D4A, D4B, bê tông sàn, sê nô thu nước</v>
      </c>
      <c r="F53" s="181" t="s">
        <v>1083</v>
      </c>
      <c r="G53" s="181" t="s">
        <v>1084</v>
      </c>
      <c r="H53" s="181" t="str">
        <f t="shared" si="31"/>
        <v>8/TVKTH3PC/PYC</v>
      </c>
      <c r="I53" s="181"/>
      <c r="J53" s="181" t="str">
        <f t="shared" si="32"/>
        <v>8/TVKTH3PC/TVK</v>
      </c>
      <c r="K53" s="179"/>
      <c r="L53" s="179" t="e">
        <f t="shared" si="33"/>
        <v>#NUM!</v>
      </c>
      <c r="M53" s="179" t="e">
        <f t="shared" si="34"/>
        <v>#NUM!</v>
      </c>
      <c r="N53" s="182">
        <f t="shared" si="35"/>
        <v>-1</v>
      </c>
      <c r="O53" s="179"/>
      <c r="P53" s="179"/>
      <c r="Q53" s="179">
        <f t="shared" si="36"/>
        <v>0</v>
      </c>
      <c r="R53" s="179">
        <f t="shared" si="37"/>
        <v>1</v>
      </c>
      <c r="S53" s="183"/>
      <c r="T53" s="179"/>
      <c r="U53" s="179"/>
      <c r="V53" s="179"/>
      <c r="W53" s="179"/>
      <c r="X53" s="182">
        <f t="shared" si="38"/>
        <v>0</v>
      </c>
      <c r="Y53" s="186" t="str">
        <f t="shared" si="14"/>
        <v>TVK</v>
      </c>
      <c r="Z53" s="186" t="str">
        <f t="shared" si="15"/>
        <v>TVK</v>
      </c>
    </row>
    <row r="54" spans="1:26" s="186" customFormat="1" ht="31.5">
      <c r="A54" s="179">
        <v>41</v>
      </c>
      <c r="B54" s="179"/>
      <c r="C54" s="179"/>
      <c r="D54" s="179" t="str">
        <f>'List - Nha'!C43</f>
        <v>NTBT4</v>
      </c>
      <c r="E54" s="180" t="str">
        <f t="shared" si="30"/>
        <v>Nghiệm thu bê tông  dầm D1, D2, D3, D4, D4A, D4B, bê tông sàn, sê nô thu nước</v>
      </c>
      <c r="F54" s="181" t="s">
        <v>1083</v>
      </c>
      <c r="G54" s="181" t="s">
        <v>1084</v>
      </c>
      <c r="H54" s="181" t="str">
        <f t="shared" si="31"/>
        <v>8/BTTH3PC/PYC</v>
      </c>
      <c r="I54" s="181"/>
      <c r="J54" s="181" t="str">
        <f t="shared" si="32"/>
        <v>8/BTTH3PC/NTCV</v>
      </c>
      <c r="K54" s="179"/>
      <c r="L54" s="179" t="e">
        <f t="shared" si="33"/>
        <v>#NUM!</v>
      </c>
      <c r="M54" s="179" t="e">
        <f t="shared" si="34"/>
        <v>#NUM!</v>
      </c>
      <c r="N54" s="182">
        <f t="shared" si="35"/>
        <v>-1</v>
      </c>
      <c r="O54" s="179"/>
      <c r="P54" s="179"/>
      <c r="Q54" s="179">
        <f t="shared" si="36"/>
        <v>0</v>
      </c>
      <c r="R54" s="179">
        <f t="shared" si="37"/>
        <v>1</v>
      </c>
      <c r="S54" s="183"/>
      <c r="T54" s="179"/>
      <c r="U54" s="179"/>
      <c r="V54" s="179"/>
      <c r="W54" s="179"/>
      <c r="X54" s="182">
        <f t="shared" si="38"/>
        <v>0</v>
      </c>
      <c r="Y54" s="186" t="str">
        <f t="shared" si="14"/>
        <v>NTCV</v>
      </c>
      <c r="Z54" s="186" t="str">
        <f t="shared" si="15"/>
        <v>NTB</v>
      </c>
    </row>
    <row r="55" spans="1:26" s="186" customFormat="1">
      <c r="A55" s="179">
        <v>42</v>
      </c>
      <c r="B55" s="179"/>
      <c r="C55" s="179"/>
      <c r="D55" s="179" t="str">
        <f>'List - Nha'!C44</f>
        <v>VLXAY4</v>
      </c>
      <c r="E55" s="180" t="str">
        <f t="shared" si="30"/>
        <v>Vật liệu trước khi xây tường thu hồi, tường chắn mái</v>
      </c>
      <c r="F55" s="181" t="s">
        <v>1083</v>
      </c>
      <c r="G55" s="181" t="s">
        <v>1084</v>
      </c>
      <c r="H55" s="181" t="str">
        <f t="shared" si="31"/>
        <v>9/VLTH3PC/PYC</v>
      </c>
      <c r="I55" s="181"/>
      <c r="J55" s="181" t="str">
        <f t="shared" si="32"/>
        <v>9/VLTH3PC/VLĐV</v>
      </c>
      <c r="K55" s="179"/>
      <c r="L55" s="179" t="e">
        <f t="shared" si="33"/>
        <v>#NUM!</v>
      </c>
      <c r="M55" s="179" t="e">
        <f t="shared" si="34"/>
        <v>#NUM!</v>
      </c>
      <c r="N55" s="182">
        <f t="shared" si="35"/>
        <v>-1</v>
      </c>
      <c r="O55" s="179"/>
      <c r="P55" s="179"/>
      <c r="Q55" s="179">
        <f t="shared" si="36"/>
        <v>0</v>
      </c>
      <c r="R55" s="179">
        <f t="shared" si="37"/>
        <v>1</v>
      </c>
      <c r="S55" s="183"/>
      <c r="T55" s="179"/>
      <c r="U55" s="179"/>
      <c r="V55" s="179"/>
      <c r="W55" s="179"/>
      <c r="X55" s="182">
        <f t="shared" si="38"/>
        <v>0</v>
      </c>
      <c r="Y55" s="186" t="str">
        <f t="shared" si="14"/>
        <v>VLĐV</v>
      </c>
      <c r="Z55" s="186" t="str">
        <f t="shared" si="15"/>
        <v>VLX</v>
      </c>
    </row>
    <row r="56" spans="1:26" s="186" customFormat="1">
      <c r="A56" s="179">
        <v>43</v>
      </c>
      <c r="B56" s="179"/>
      <c r="C56" s="179"/>
      <c r="D56" s="179" t="str">
        <f>'List - Nha'!C45</f>
        <v>LMXAY4</v>
      </c>
      <c r="E56" s="180" t="str">
        <f t="shared" si="30"/>
        <v>Lấy mẫu vữa xi măng mác 75#, xây tường thu hồi, tường chắn mái</v>
      </c>
      <c r="F56" s="181" t="s">
        <v>1083</v>
      </c>
      <c r="G56" s="181" t="s">
        <v>1084</v>
      </c>
      <c r="H56" s="181" t="str">
        <f t="shared" si="31"/>
        <v>9/LMTH3PC/PYC</v>
      </c>
      <c r="I56" s="181"/>
      <c r="J56" s="181" t="str">
        <f t="shared" si="32"/>
        <v>9/LMTH3PC/LMVX</v>
      </c>
      <c r="K56" s="179"/>
      <c r="L56" s="179" t="e">
        <f t="shared" si="33"/>
        <v>#NUM!</v>
      </c>
      <c r="M56" s="179" t="e">
        <f t="shared" si="34"/>
        <v>#NUM!</v>
      </c>
      <c r="N56" s="182">
        <f t="shared" si="35"/>
        <v>-1</v>
      </c>
      <c r="O56" s="179"/>
      <c r="P56" s="179"/>
      <c r="Q56" s="179">
        <f t="shared" si="36"/>
        <v>0</v>
      </c>
      <c r="R56" s="179">
        <f t="shared" si="37"/>
        <v>1</v>
      </c>
      <c r="S56" s="183"/>
      <c r="T56" s="179"/>
      <c r="U56" s="179"/>
      <c r="V56" s="179"/>
      <c r="W56" s="179"/>
      <c r="X56" s="182">
        <f t="shared" si="38"/>
        <v>0</v>
      </c>
      <c r="Y56" s="186" t="str">
        <f t="shared" si="14"/>
        <v>LMVX</v>
      </c>
      <c r="Z56" s="186" t="str">
        <f t="shared" si="15"/>
        <v>LMX</v>
      </c>
    </row>
    <row r="57" spans="1:26" s="186" customFormat="1">
      <c r="A57" s="179">
        <v>44</v>
      </c>
      <c r="B57" s="179"/>
      <c r="C57" s="179"/>
      <c r="D57" s="179" t="str">
        <f>'List - Nha'!C46</f>
        <v>XAY4</v>
      </c>
      <c r="E57" s="180" t="str">
        <f t="shared" si="30"/>
        <v>Nghiệm thu công tác xây tường thu hồi, tường chắn mái</v>
      </c>
      <c r="F57" s="181" t="s">
        <v>1083</v>
      </c>
      <c r="G57" s="181" t="s">
        <v>1084</v>
      </c>
      <c r="H57" s="181" t="str">
        <f t="shared" si="31"/>
        <v>9/XAYTH3PC/PYC</v>
      </c>
      <c r="I57" s="181"/>
      <c r="J57" s="181" t="str">
        <f t="shared" si="32"/>
        <v>9/XAYTH3PC/NTCV</v>
      </c>
      <c r="K57" s="179"/>
      <c r="L57" s="179" t="e">
        <f t="shared" si="33"/>
        <v>#NUM!</v>
      </c>
      <c r="M57" s="179" t="e">
        <f t="shared" si="34"/>
        <v>#NUM!</v>
      </c>
      <c r="N57" s="182">
        <f t="shared" si="35"/>
        <v>-1</v>
      </c>
      <c r="O57" s="179"/>
      <c r="P57" s="179"/>
      <c r="Q57" s="179">
        <f t="shared" si="36"/>
        <v>0</v>
      </c>
      <c r="R57" s="179">
        <f t="shared" si="37"/>
        <v>1</v>
      </c>
      <c r="S57" s="183"/>
      <c r="T57" s="179"/>
      <c r="U57" s="179"/>
      <c r="V57" s="179"/>
      <c r="W57" s="179"/>
      <c r="X57" s="182">
        <f t="shared" si="38"/>
        <v>0</v>
      </c>
      <c r="Y57" s="186" t="str">
        <f t="shared" si="14"/>
        <v>NTCV</v>
      </c>
      <c r="Z57" s="186" t="str">
        <f t="shared" si="15"/>
        <v>XAY</v>
      </c>
    </row>
    <row r="58" spans="1:26" s="186" customFormat="1">
      <c r="A58" s="179">
        <v>45</v>
      </c>
      <c r="B58" s="179"/>
      <c r="C58" s="179"/>
      <c r="D58" s="179" t="str">
        <f>'List - Nha'!C47</f>
        <v>VLBT5</v>
      </c>
      <c r="E58" s="180" t="str">
        <f t="shared" si="30"/>
        <v>Vật liệu trước khi đổ bê tông giằng tường thu hồi</v>
      </c>
      <c r="F58" s="181" t="s">
        <v>1083</v>
      </c>
      <c r="G58" s="181" t="s">
        <v>1084</v>
      </c>
      <c r="H58" s="181" t="str">
        <f t="shared" si="31"/>
        <v>10/VLTH3PC/PYC</v>
      </c>
      <c r="I58" s="181"/>
      <c r="J58" s="181" t="str">
        <f t="shared" si="32"/>
        <v>10/VLTH3PC/VLĐV</v>
      </c>
      <c r="K58" s="179"/>
      <c r="L58" s="179" t="e">
        <f t="shared" si="33"/>
        <v>#NUM!</v>
      </c>
      <c r="M58" s="179" t="e">
        <f t="shared" si="34"/>
        <v>#NUM!</v>
      </c>
      <c r="N58" s="182">
        <f t="shared" si="35"/>
        <v>-1</v>
      </c>
      <c r="O58" s="179"/>
      <c r="P58" s="179"/>
      <c r="Q58" s="179">
        <f t="shared" si="36"/>
        <v>0</v>
      </c>
      <c r="R58" s="179">
        <f t="shared" si="37"/>
        <v>1</v>
      </c>
      <c r="S58" s="183"/>
      <c r="T58" s="179"/>
      <c r="U58" s="179"/>
      <c r="V58" s="179"/>
      <c r="W58" s="179"/>
      <c r="X58" s="182">
        <f t="shared" si="38"/>
        <v>0</v>
      </c>
      <c r="Y58" s="186" t="str">
        <f t="shared" si="14"/>
        <v>VLĐV</v>
      </c>
      <c r="Z58" s="186" t="str">
        <f t="shared" si="15"/>
        <v>VLB</v>
      </c>
    </row>
    <row r="59" spans="1:26" s="186" customFormat="1">
      <c r="A59" s="179">
        <v>46</v>
      </c>
      <c r="B59" s="179"/>
      <c r="C59" s="179"/>
      <c r="D59" s="179" t="str">
        <f>'List - Nha'!C48</f>
        <v>VKBT5</v>
      </c>
      <c r="E59" s="180" t="str">
        <f t="shared" si="30"/>
        <v>Nghiệm thu ván khuôn bê tông giằng tường thu hồi</v>
      </c>
      <c r="F59" s="181" t="s">
        <v>1083</v>
      </c>
      <c r="G59" s="181" t="s">
        <v>1084</v>
      </c>
      <c r="H59" s="181" t="str">
        <f t="shared" si="31"/>
        <v>10/VKTH3PC/PYC</v>
      </c>
      <c r="I59" s="181"/>
      <c r="J59" s="181" t="str">
        <f t="shared" si="32"/>
        <v>10/VKTH3PC/NTVK</v>
      </c>
      <c r="K59" s="179"/>
      <c r="L59" s="179" t="e">
        <f t="shared" si="33"/>
        <v>#NUM!</v>
      </c>
      <c r="M59" s="179" t="e">
        <f t="shared" si="34"/>
        <v>#NUM!</v>
      </c>
      <c r="N59" s="182">
        <f t="shared" si="35"/>
        <v>-1</v>
      </c>
      <c r="O59" s="179"/>
      <c r="P59" s="179"/>
      <c r="Q59" s="179">
        <f t="shared" si="36"/>
        <v>0</v>
      </c>
      <c r="R59" s="179">
        <f t="shared" si="37"/>
        <v>1</v>
      </c>
      <c r="S59" s="183"/>
      <c r="T59" s="179"/>
      <c r="U59" s="179"/>
      <c r="V59" s="179"/>
      <c r="W59" s="179"/>
      <c r="X59" s="182">
        <f t="shared" si="38"/>
        <v>0</v>
      </c>
      <c r="Y59" s="186" t="str">
        <f t="shared" si="14"/>
        <v>NTVK</v>
      </c>
      <c r="Z59" s="186" t="str">
        <f t="shared" si="15"/>
        <v>VKB</v>
      </c>
    </row>
    <row r="60" spans="1:26" s="186" customFormat="1">
      <c r="A60" s="179">
        <v>47</v>
      </c>
      <c r="B60" s="179"/>
      <c r="C60" s="179"/>
      <c r="D60" s="179" t="str">
        <f>'List - Nha'!C49</f>
        <v>CTBT5</v>
      </c>
      <c r="E60" s="180" t="str">
        <f t="shared" si="30"/>
        <v>Nghiệm thu cốt thép giằng tường thu hồi</v>
      </c>
      <c r="F60" s="181" t="s">
        <v>1083</v>
      </c>
      <c r="G60" s="181" t="s">
        <v>1084</v>
      </c>
      <c r="H60" s="181" t="str">
        <f t="shared" si="31"/>
        <v>10/CTTH3PC/PYC</v>
      </c>
      <c r="I60" s="181"/>
      <c r="J60" s="181" t="str">
        <f t="shared" si="32"/>
        <v>10/CTTH3PC/NTCT</v>
      </c>
      <c r="K60" s="179"/>
      <c r="L60" s="179" t="e">
        <f t="shared" si="33"/>
        <v>#NUM!</v>
      </c>
      <c r="M60" s="179" t="e">
        <f t="shared" si="34"/>
        <v>#NUM!</v>
      </c>
      <c r="N60" s="182">
        <f t="shared" si="35"/>
        <v>-1</v>
      </c>
      <c r="O60" s="179"/>
      <c r="P60" s="179"/>
      <c r="Q60" s="179">
        <f t="shared" si="36"/>
        <v>0</v>
      </c>
      <c r="R60" s="179">
        <f t="shared" si="37"/>
        <v>1</v>
      </c>
      <c r="S60" s="183"/>
      <c r="T60" s="179"/>
      <c r="U60" s="179"/>
      <c r="V60" s="179"/>
      <c r="W60" s="179"/>
      <c r="X60" s="182">
        <f t="shared" si="38"/>
        <v>0</v>
      </c>
      <c r="Y60" s="186" t="str">
        <f t="shared" si="14"/>
        <v>NTCT</v>
      </c>
      <c r="Z60" s="186" t="str">
        <f t="shared" si="15"/>
        <v>CTB</v>
      </c>
    </row>
    <row r="61" spans="1:26" s="186" customFormat="1">
      <c r="A61" s="179">
        <v>48</v>
      </c>
      <c r="B61" s="179"/>
      <c r="C61" s="179"/>
      <c r="D61" s="179" t="str">
        <f>'List - Nha'!C50</f>
        <v>CBBT5</v>
      </c>
      <c r="E61" s="180" t="str">
        <f t="shared" si="30"/>
        <v>Kiểm tra công tác chuẩn bị đổ bê tông giằng tường thu hồi</v>
      </c>
      <c r="F61" s="181" t="s">
        <v>1083</v>
      </c>
      <c r="G61" s="181" t="s">
        <v>1084</v>
      </c>
      <c r="H61" s="181" t="str">
        <f t="shared" si="31"/>
        <v>10/CBTH3PC/PYC</v>
      </c>
      <c r="I61" s="181"/>
      <c r="J61" s="181" t="str">
        <f t="shared" si="32"/>
        <v>10/CBTH3PC/CBBT</v>
      </c>
      <c r="K61" s="179"/>
      <c r="L61" s="179" t="e">
        <f t="shared" si="33"/>
        <v>#NUM!</v>
      </c>
      <c r="M61" s="179" t="e">
        <f t="shared" si="34"/>
        <v>#NUM!</v>
      </c>
      <c r="N61" s="182">
        <f t="shared" si="35"/>
        <v>-1</v>
      </c>
      <c r="O61" s="179"/>
      <c r="P61" s="179"/>
      <c r="Q61" s="179">
        <f t="shared" si="36"/>
        <v>0</v>
      </c>
      <c r="R61" s="179">
        <f t="shared" si="37"/>
        <v>1</v>
      </c>
      <c r="S61" s="183"/>
      <c r="T61" s="179"/>
      <c r="U61" s="179"/>
      <c r="V61" s="179"/>
      <c r="W61" s="179"/>
      <c r="X61" s="182">
        <f t="shared" si="38"/>
        <v>0</v>
      </c>
      <c r="Y61" s="186" t="str">
        <f t="shared" si="14"/>
        <v>CBBT</v>
      </c>
      <c r="Z61" s="186" t="str">
        <f t="shared" si="15"/>
        <v>CBB</v>
      </c>
    </row>
    <row r="62" spans="1:26" s="186" customFormat="1">
      <c r="A62" s="179">
        <v>49</v>
      </c>
      <c r="B62" s="179"/>
      <c r="C62" s="179"/>
      <c r="D62" s="179" t="str">
        <f>'List - Nha'!C51</f>
        <v>GSBT5</v>
      </c>
      <c r="E62" s="180" t="str">
        <f t="shared" si="30"/>
        <v>Giám sát quá trình đổ bê tông giằng tường thu hồi</v>
      </c>
      <c r="F62" s="181" t="s">
        <v>1083</v>
      </c>
      <c r="G62" s="181" t="s">
        <v>1084</v>
      </c>
      <c r="H62" s="181" t="str">
        <f t="shared" si="31"/>
        <v>10/GSTH3PC/PYC</v>
      </c>
      <c r="I62" s="181"/>
      <c r="J62" s="181" t="str">
        <f t="shared" si="32"/>
        <v>10/GSTH3PC/GSBT</v>
      </c>
      <c r="K62" s="179"/>
      <c r="L62" s="179" t="e">
        <f t="shared" si="33"/>
        <v>#NUM!</v>
      </c>
      <c r="M62" s="179" t="e">
        <f t="shared" si="34"/>
        <v>#NUM!</v>
      </c>
      <c r="N62" s="182">
        <f t="shared" si="35"/>
        <v>-1</v>
      </c>
      <c r="O62" s="179"/>
      <c r="P62" s="179"/>
      <c r="Q62" s="179">
        <f t="shared" si="36"/>
        <v>0</v>
      </c>
      <c r="R62" s="179">
        <f t="shared" si="37"/>
        <v>1</v>
      </c>
      <c r="S62" s="183"/>
      <c r="T62" s="179"/>
      <c r="U62" s="179"/>
      <c r="V62" s="179"/>
      <c r="W62" s="179"/>
      <c r="X62" s="182">
        <f t="shared" si="38"/>
        <v>0</v>
      </c>
      <c r="Y62" s="186" t="str">
        <f t="shared" si="14"/>
        <v>GSBT</v>
      </c>
      <c r="Z62" s="186" t="str">
        <f t="shared" si="15"/>
        <v>GSB</v>
      </c>
    </row>
    <row r="63" spans="1:26" s="186" customFormat="1">
      <c r="A63" s="179">
        <v>50</v>
      </c>
      <c r="B63" s="179"/>
      <c r="C63" s="179"/>
      <c r="D63" s="179" t="str">
        <f>'List - Nha'!C52</f>
        <v>LMBT5</v>
      </c>
      <c r="E63" s="180" t="str">
        <f t="shared" si="30"/>
        <v>Lấy mẫu bê tông giằng tường thu hồi</v>
      </c>
      <c r="F63" s="181" t="s">
        <v>1083</v>
      </c>
      <c r="G63" s="181" t="s">
        <v>1084</v>
      </c>
      <c r="H63" s="181" t="str">
        <f t="shared" si="31"/>
        <v>10/LMTH3PC/PYC</v>
      </c>
      <c r="I63" s="181"/>
      <c r="J63" s="181" t="str">
        <f t="shared" si="32"/>
        <v>10/LMTH3PC/LMBT</v>
      </c>
      <c r="K63" s="179"/>
      <c r="L63" s="179" t="e">
        <f t="shared" si="33"/>
        <v>#NUM!</v>
      </c>
      <c r="M63" s="179" t="e">
        <f t="shared" si="34"/>
        <v>#NUM!</v>
      </c>
      <c r="N63" s="182">
        <f t="shared" si="35"/>
        <v>-1</v>
      </c>
      <c r="O63" s="179"/>
      <c r="P63" s="179"/>
      <c r="Q63" s="179">
        <f t="shared" si="36"/>
        <v>0</v>
      </c>
      <c r="R63" s="179">
        <f t="shared" si="37"/>
        <v>1</v>
      </c>
      <c r="S63" s="183"/>
      <c r="T63" s="179"/>
      <c r="U63" s="179"/>
      <c r="V63" s="179"/>
      <c r="W63" s="179"/>
      <c r="X63" s="182">
        <f t="shared" si="38"/>
        <v>0</v>
      </c>
      <c r="Y63" s="186" t="str">
        <f t="shared" si="14"/>
        <v>LMBT</v>
      </c>
      <c r="Z63" s="186" t="str">
        <f t="shared" si="15"/>
        <v>LMB</v>
      </c>
    </row>
    <row r="64" spans="1:26" s="186" customFormat="1">
      <c r="A64" s="179">
        <v>51</v>
      </c>
      <c r="B64" s="179"/>
      <c r="C64" s="179"/>
      <c r="D64" s="179" t="str">
        <f>'List - Nha'!C53</f>
        <v>TVK5</v>
      </c>
      <c r="E64" s="180" t="str">
        <f t="shared" si="30"/>
        <v>Nghiệm thu tháo ván khuôn bê tông giằng tường thu hồi</v>
      </c>
      <c r="F64" s="181" t="s">
        <v>1083</v>
      </c>
      <c r="G64" s="181" t="s">
        <v>1084</v>
      </c>
      <c r="H64" s="181" t="str">
        <f t="shared" si="31"/>
        <v>10/TVKTH3PC/PYC</v>
      </c>
      <c r="I64" s="181"/>
      <c r="J64" s="181" t="str">
        <f t="shared" si="32"/>
        <v>10/TVKTH3PC/TVK</v>
      </c>
      <c r="K64" s="179"/>
      <c r="L64" s="179" t="e">
        <f t="shared" si="33"/>
        <v>#NUM!</v>
      </c>
      <c r="M64" s="179" t="e">
        <f t="shared" si="34"/>
        <v>#NUM!</v>
      </c>
      <c r="N64" s="182">
        <f t="shared" si="35"/>
        <v>-1</v>
      </c>
      <c r="O64" s="179"/>
      <c r="P64" s="179"/>
      <c r="Q64" s="179">
        <f t="shared" si="36"/>
        <v>0</v>
      </c>
      <c r="R64" s="179">
        <f t="shared" si="37"/>
        <v>1</v>
      </c>
      <c r="S64" s="183"/>
      <c r="T64" s="179"/>
      <c r="U64" s="179"/>
      <c r="V64" s="179"/>
      <c r="W64" s="179"/>
      <c r="X64" s="182">
        <f t="shared" si="38"/>
        <v>0</v>
      </c>
      <c r="Y64" s="186" t="str">
        <f t="shared" si="14"/>
        <v>TVK</v>
      </c>
      <c r="Z64" s="186" t="str">
        <f t="shared" si="15"/>
        <v>TVK</v>
      </c>
    </row>
    <row r="65" spans="1:26" s="186" customFormat="1">
      <c r="A65" s="179">
        <v>52</v>
      </c>
      <c r="B65" s="179"/>
      <c r="C65" s="179"/>
      <c r="D65" s="179" t="str">
        <f>'List - Nha'!C54</f>
        <v>NTBT5</v>
      </c>
      <c r="E65" s="180" t="str">
        <f t="shared" si="30"/>
        <v>Nghiệm thu bê tông giằng tường thu hồi</v>
      </c>
      <c r="F65" s="181" t="s">
        <v>1083</v>
      </c>
      <c r="G65" s="181" t="s">
        <v>1084</v>
      </c>
      <c r="H65" s="181" t="str">
        <f t="shared" si="31"/>
        <v>10/BTTH3PC/PYC</v>
      </c>
      <c r="I65" s="181"/>
      <c r="J65" s="181" t="str">
        <f t="shared" si="32"/>
        <v>10/BTTH3PC/NTCV</v>
      </c>
      <c r="K65" s="179"/>
      <c r="L65" s="179" t="e">
        <f t="shared" si="33"/>
        <v>#NUM!</v>
      </c>
      <c r="M65" s="179" t="e">
        <f t="shared" si="34"/>
        <v>#NUM!</v>
      </c>
      <c r="N65" s="182">
        <f t="shared" si="35"/>
        <v>-1</v>
      </c>
      <c r="O65" s="179"/>
      <c r="P65" s="179"/>
      <c r="Q65" s="179">
        <f t="shared" si="36"/>
        <v>0</v>
      </c>
      <c r="R65" s="179">
        <f t="shared" si="37"/>
        <v>1</v>
      </c>
      <c r="S65" s="183"/>
      <c r="T65" s="179"/>
      <c r="U65" s="179"/>
      <c r="V65" s="179"/>
      <c r="W65" s="179"/>
      <c r="X65" s="182">
        <f t="shared" si="38"/>
        <v>0</v>
      </c>
      <c r="Y65" s="186" t="str">
        <f t="shared" si="14"/>
        <v>NTCV</v>
      </c>
      <c r="Z65" s="186" t="str">
        <f t="shared" si="15"/>
        <v>NTB</v>
      </c>
    </row>
    <row r="66" spans="1:26" s="186" customFormat="1">
      <c r="A66" s="179">
        <v>53</v>
      </c>
      <c r="B66" s="179"/>
      <c r="C66" s="179"/>
      <c r="D66" s="179" t="str">
        <f>'List - Nha'!C55</f>
        <v>VLBT6</v>
      </c>
      <c r="E66" s="180" t="str">
        <f t="shared" si="30"/>
        <v>Vật liệu trước khi đổ bê tông Lam trang trí</v>
      </c>
      <c r="F66" s="181" t="s">
        <v>1083</v>
      </c>
      <c r="G66" s="181" t="s">
        <v>1084</v>
      </c>
      <c r="H66" s="181" t="str">
        <f t="shared" si="31"/>
        <v>11/VLTH3PC/PYC</v>
      </c>
      <c r="I66" s="181"/>
      <c r="J66" s="181" t="str">
        <f t="shared" si="32"/>
        <v>11/VLTH3PC/VLĐV</v>
      </c>
      <c r="K66" s="179"/>
      <c r="L66" s="179" t="e">
        <f t="shared" si="33"/>
        <v>#NUM!</v>
      </c>
      <c r="M66" s="179" t="e">
        <f t="shared" si="34"/>
        <v>#NUM!</v>
      </c>
      <c r="N66" s="182">
        <f t="shared" si="35"/>
        <v>-1</v>
      </c>
      <c r="O66" s="179"/>
      <c r="P66" s="179"/>
      <c r="Q66" s="179">
        <f t="shared" si="36"/>
        <v>0</v>
      </c>
      <c r="R66" s="179">
        <f t="shared" si="37"/>
        <v>1</v>
      </c>
      <c r="S66" s="183"/>
      <c r="T66" s="179"/>
      <c r="U66" s="179"/>
      <c r="V66" s="179"/>
      <c r="W66" s="179"/>
      <c r="X66" s="182">
        <f t="shared" si="38"/>
        <v>0</v>
      </c>
      <c r="Y66" s="186" t="str">
        <f t="shared" si="14"/>
        <v>VLĐV</v>
      </c>
      <c r="Z66" s="186" t="str">
        <f t="shared" si="15"/>
        <v>VLB</v>
      </c>
    </row>
    <row r="67" spans="1:26" s="186" customFormat="1">
      <c r="A67" s="179">
        <v>54</v>
      </c>
      <c r="B67" s="179"/>
      <c r="C67" s="179"/>
      <c r="D67" s="179" t="str">
        <f>'List - Nha'!C56</f>
        <v>VKBT6</v>
      </c>
      <c r="E67" s="180" t="str">
        <f t="shared" si="30"/>
        <v>Nghiệm thu ván khuôn bê tông Lam trang trí</v>
      </c>
      <c r="F67" s="181" t="s">
        <v>1083</v>
      </c>
      <c r="G67" s="181" t="s">
        <v>1084</v>
      </c>
      <c r="H67" s="181" t="str">
        <f t="shared" si="31"/>
        <v>11/VKTH3PC/PYC</v>
      </c>
      <c r="I67" s="181"/>
      <c r="J67" s="181" t="str">
        <f t="shared" si="32"/>
        <v>11/VKTH3PC/NTVK</v>
      </c>
      <c r="K67" s="179"/>
      <c r="L67" s="179" t="e">
        <f t="shared" si="33"/>
        <v>#NUM!</v>
      </c>
      <c r="M67" s="179" t="e">
        <f t="shared" si="34"/>
        <v>#NUM!</v>
      </c>
      <c r="N67" s="182">
        <f t="shared" si="35"/>
        <v>-1</v>
      </c>
      <c r="O67" s="179"/>
      <c r="P67" s="179"/>
      <c r="Q67" s="179">
        <f t="shared" si="36"/>
        <v>0</v>
      </c>
      <c r="R67" s="179">
        <f t="shared" si="37"/>
        <v>1</v>
      </c>
      <c r="S67" s="183"/>
      <c r="T67" s="179"/>
      <c r="U67" s="179"/>
      <c r="V67" s="179"/>
      <c r="W67" s="179"/>
      <c r="X67" s="182">
        <f t="shared" si="38"/>
        <v>0</v>
      </c>
      <c r="Y67" s="186" t="str">
        <f t="shared" si="14"/>
        <v>NTVK</v>
      </c>
      <c r="Z67" s="186" t="str">
        <f t="shared" si="15"/>
        <v>VKB</v>
      </c>
    </row>
    <row r="68" spans="1:26" s="186" customFormat="1">
      <c r="A68" s="179">
        <v>55</v>
      </c>
      <c r="B68" s="179"/>
      <c r="C68" s="179"/>
      <c r="D68" s="179" t="str">
        <f>'List - Nha'!C57</f>
        <v>CTBT6</v>
      </c>
      <c r="E68" s="180" t="str">
        <f t="shared" si="30"/>
        <v>Nghiệm thu cốt thép Lam trang trí</v>
      </c>
      <c r="F68" s="181" t="s">
        <v>1083</v>
      </c>
      <c r="G68" s="181" t="s">
        <v>1084</v>
      </c>
      <c r="H68" s="181" t="str">
        <f t="shared" si="31"/>
        <v>11/CTTH3PC/PYC</v>
      </c>
      <c r="I68" s="181"/>
      <c r="J68" s="181" t="str">
        <f t="shared" si="32"/>
        <v>11/CTTH3PC/NTCT</v>
      </c>
      <c r="K68" s="179"/>
      <c r="L68" s="179" t="e">
        <f t="shared" si="33"/>
        <v>#NUM!</v>
      </c>
      <c r="M68" s="179" t="e">
        <f t="shared" si="34"/>
        <v>#NUM!</v>
      </c>
      <c r="N68" s="182">
        <f t="shared" si="35"/>
        <v>-1</v>
      </c>
      <c r="O68" s="179"/>
      <c r="P68" s="179"/>
      <c r="Q68" s="179">
        <f t="shared" si="36"/>
        <v>0</v>
      </c>
      <c r="R68" s="179">
        <f t="shared" si="37"/>
        <v>1</v>
      </c>
      <c r="S68" s="183"/>
      <c r="T68" s="179"/>
      <c r="U68" s="179"/>
      <c r="V68" s="179"/>
      <c r="W68" s="179"/>
      <c r="X68" s="182">
        <f t="shared" si="38"/>
        <v>0</v>
      </c>
      <c r="Y68" s="186" t="str">
        <f t="shared" si="14"/>
        <v>NTCT</v>
      </c>
      <c r="Z68" s="186" t="str">
        <f t="shared" si="15"/>
        <v>CTB</v>
      </c>
    </row>
    <row r="69" spans="1:26" s="186" customFormat="1">
      <c r="A69" s="179">
        <v>56</v>
      </c>
      <c r="B69" s="179"/>
      <c r="C69" s="179"/>
      <c r="D69" s="179" t="str">
        <f>'List - Nha'!C58</f>
        <v>CBBT6</v>
      </c>
      <c r="E69" s="180" t="str">
        <f t="shared" si="30"/>
        <v>Kiểm tra công tác chuẩn bị đổ bê tông Lam trang trí</v>
      </c>
      <c r="F69" s="181" t="s">
        <v>1083</v>
      </c>
      <c r="G69" s="181" t="s">
        <v>1084</v>
      </c>
      <c r="H69" s="181" t="str">
        <f t="shared" si="31"/>
        <v>11/CBTH3PC/PYC</v>
      </c>
      <c r="I69" s="181"/>
      <c r="J69" s="181" t="str">
        <f t="shared" si="32"/>
        <v>11/CBTH3PC/CBBT</v>
      </c>
      <c r="K69" s="179"/>
      <c r="L69" s="179" t="e">
        <f t="shared" si="33"/>
        <v>#NUM!</v>
      </c>
      <c r="M69" s="179" t="e">
        <f t="shared" si="34"/>
        <v>#NUM!</v>
      </c>
      <c r="N69" s="182">
        <f t="shared" si="35"/>
        <v>-1</v>
      </c>
      <c r="O69" s="179"/>
      <c r="P69" s="179"/>
      <c r="Q69" s="179">
        <f t="shared" si="36"/>
        <v>0</v>
      </c>
      <c r="R69" s="179">
        <f t="shared" si="37"/>
        <v>1</v>
      </c>
      <c r="S69" s="183"/>
      <c r="T69" s="179"/>
      <c r="U69" s="179"/>
      <c r="V69" s="179"/>
      <c r="W69" s="179"/>
      <c r="X69" s="182">
        <f t="shared" si="38"/>
        <v>0</v>
      </c>
      <c r="Y69" s="186" t="str">
        <f t="shared" si="14"/>
        <v>CBBT</v>
      </c>
      <c r="Z69" s="186" t="str">
        <f t="shared" si="15"/>
        <v>CBB</v>
      </c>
    </row>
    <row r="70" spans="1:26" s="186" customFormat="1">
      <c r="A70" s="179">
        <v>57</v>
      </c>
      <c r="B70" s="179"/>
      <c r="C70" s="179"/>
      <c r="D70" s="179" t="str">
        <f>'List - Nha'!C59</f>
        <v>GSBT6</v>
      </c>
      <c r="E70" s="180" t="str">
        <f t="shared" si="30"/>
        <v>Giám sát quá trình đổ bê tông Lam trang trí</v>
      </c>
      <c r="F70" s="181" t="s">
        <v>1083</v>
      </c>
      <c r="G70" s="181" t="s">
        <v>1084</v>
      </c>
      <c r="H70" s="181" t="str">
        <f t="shared" si="31"/>
        <v>11/GSTH3PC/PYC</v>
      </c>
      <c r="I70" s="181"/>
      <c r="J70" s="181" t="str">
        <f t="shared" si="32"/>
        <v>11/GSTH3PC/GSBT</v>
      </c>
      <c r="K70" s="179"/>
      <c r="L70" s="179" t="e">
        <f t="shared" si="33"/>
        <v>#NUM!</v>
      </c>
      <c r="M70" s="179" t="e">
        <f t="shared" si="34"/>
        <v>#NUM!</v>
      </c>
      <c r="N70" s="182">
        <f t="shared" si="35"/>
        <v>-1</v>
      </c>
      <c r="O70" s="179"/>
      <c r="P70" s="179"/>
      <c r="Q70" s="179">
        <f t="shared" si="36"/>
        <v>0</v>
      </c>
      <c r="R70" s="179">
        <f t="shared" si="37"/>
        <v>1</v>
      </c>
      <c r="S70" s="183"/>
      <c r="T70" s="179"/>
      <c r="U70" s="179"/>
      <c r="V70" s="179"/>
      <c r="W70" s="179"/>
      <c r="X70" s="182">
        <f t="shared" si="38"/>
        <v>0</v>
      </c>
      <c r="Y70" s="186" t="str">
        <f t="shared" si="14"/>
        <v>GSBT</v>
      </c>
      <c r="Z70" s="186" t="str">
        <f t="shared" si="15"/>
        <v>GSB</v>
      </c>
    </row>
    <row r="71" spans="1:26" s="186" customFormat="1">
      <c r="A71" s="179">
        <v>58</v>
      </c>
      <c r="B71" s="179"/>
      <c r="C71" s="179"/>
      <c r="D71" s="179" t="str">
        <f>'List - Nha'!C60</f>
        <v>LMBT6</v>
      </c>
      <c r="E71" s="180" t="str">
        <f t="shared" si="30"/>
        <v>Lấy mẫu bê tông Lam trang trí</v>
      </c>
      <c r="F71" s="181" t="s">
        <v>1083</v>
      </c>
      <c r="G71" s="181" t="s">
        <v>1084</v>
      </c>
      <c r="H71" s="181" t="str">
        <f t="shared" si="31"/>
        <v>11/LMTH3PC/PYC</v>
      </c>
      <c r="I71" s="181"/>
      <c r="J71" s="181" t="str">
        <f t="shared" si="32"/>
        <v>11/LMTH3PC/LMBT</v>
      </c>
      <c r="K71" s="179"/>
      <c r="L71" s="179" t="e">
        <f t="shared" si="33"/>
        <v>#NUM!</v>
      </c>
      <c r="M71" s="179" t="e">
        <f t="shared" si="34"/>
        <v>#NUM!</v>
      </c>
      <c r="N71" s="182">
        <f t="shared" si="35"/>
        <v>-1</v>
      </c>
      <c r="O71" s="179"/>
      <c r="P71" s="179"/>
      <c r="Q71" s="179">
        <f t="shared" si="36"/>
        <v>0</v>
      </c>
      <c r="R71" s="179">
        <f t="shared" si="37"/>
        <v>1</v>
      </c>
      <c r="S71" s="183"/>
      <c r="T71" s="179"/>
      <c r="U71" s="179"/>
      <c r="V71" s="179"/>
      <c r="W71" s="179"/>
      <c r="X71" s="182">
        <f t="shared" si="38"/>
        <v>0</v>
      </c>
      <c r="Y71" s="186" t="str">
        <f t="shared" si="14"/>
        <v>LMBT</v>
      </c>
      <c r="Z71" s="186" t="str">
        <f t="shared" si="15"/>
        <v>LMB</v>
      </c>
    </row>
    <row r="72" spans="1:26" s="186" customFormat="1">
      <c r="A72" s="179">
        <v>59</v>
      </c>
      <c r="B72" s="179"/>
      <c r="C72" s="179"/>
      <c r="D72" s="179" t="str">
        <f>'List - Nha'!C61</f>
        <v>TVK6</v>
      </c>
      <c r="E72" s="180" t="str">
        <f t="shared" si="30"/>
        <v>Nghiệm thu tháo ván khuôn bê tông Lam trang trí</v>
      </c>
      <c r="F72" s="181" t="s">
        <v>1083</v>
      </c>
      <c r="G72" s="181" t="s">
        <v>1084</v>
      </c>
      <c r="H72" s="181" t="str">
        <f t="shared" si="31"/>
        <v>11/TVKTH3PC/PYC</v>
      </c>
      <c r="I72" s="181"/>
      <c r="J72" s="181" t="str">
        <f t="shared" si="32"/>
        <v>11/TVKTH3PC/TVK</v>
      </c>
      <c r="K72" s="179"/>
      <c r="L72" s="179" t="e">
        <f t="shared" si="33"/>
        <v>#NUM!</v>
      </c>
      <c r="M72" s="179" t="e">
        <f t="shared" si="34"/>
        <v>#NUM!</v>
      </c>
      <c r="N72" s="182">
        <f t="shared" si="35"/>
        <v>-1</v>
      </c>
      <c r="O72" s="179"/>
      <c r="P72" s="179"/>
      <c r="Q72" s="179">
        <f t="shared" si="36"/>
        <v>0</v>
      </c>
      <c r="R72" s="179">
        <f t="shared" si="37"/>
        <v>1</v>
      </c>
      <c r="S72" s="183"/>
      <c r="T72" s="179"/>
      <c r="U72" s="179"/>
      <c r="V72" s="179"/>
      <c r="W72" s="179"/>
      <c r="X72" s="182">
        <f t="shared" si="38"/>
        <v>0</v>
      </c>
      <c r="Y72" s="186" t="str">
        <f t="shared" si="14"/>
        <v>TVK</v>
      </c>
      <c r="Z72" s="186" t="str">
        <f t="shared" si="15"/>
        <v>TVK</v>
      </c>
    </row>
    <row r="73" spans="1:26" s="186" customFormat="1">
      <c r="A73" s="179">
        <v>60</v>
      </c>
      <c r="B73" s="179"/>
      <c r="C73" s="179"/>
      <c r="D73" s="179" t="str">
        <f>'List - Nha'!C62</f>
        <v>NTBT6</v>
      </c>
      <c r="E73" s="180" t="str">
        <f t="shared" si="30"/>
        <v>Nghiệm thu bê tông Lam trang trí</v>
      </c>
      <c r="F73" s="181" t="s">
        <v>1083</v>
      </c>
      <c r="G73" s="181" t="s">
        <v>1084</v>
      </c>
      <c r="H73" s="181" t="str">
        <f t="shared" si="31"/>
        <v>11/BTTH3PC/PYC</v>
      </c>
      <c r="I73" s="181"/>
      <c r="J73" s="181" t="str">
        <f t="shared" si="32"/>
        <v>11/BTTH3PC/NTCV</v>
      </c>
      <c r="K73" s="179"/>
      <c r="L73" s="179" t="e">
        <f t="shared" si="33"/>
        <v>#NUM!</v>
      </c>
      <c r="M73" s="179" t="e">
        <f t="shared" si="34"/>
        <v>#NUM!</v>
      </c>
      <c r="N73" s="182">
        <f t="shared" si="35"/>
        <v>-1</v>
      </c>
      <c r="O73" s="179"/>
      <c r="P73" s="179"/>
      <c r="Q73" s="179">
        <f t="shared" si="36"/>
        <v>0</v>
      </c>
      <c r="R73" s="179">
        <f t="shared" si="37"/>
        <v>1</v>
      </c>
      <c r="S73" s="183"/>
      <c r="T73" s="179"/>
      <c r="U73" s="179"/>
      <c r="V73" s="179"/>
      <c r="W73" s="179"/>
      <c r="X73" s="182">
        <f t="shared" si="38"/>
        <v>0</v>
      </c>
      <c r="Y73" s="186" t="str">
        <f t="shared" si="14"/>
        <v>NTCV</v>
      </c>
      <c r="Z73" s="186" t="str">
        <f t="shared" si="15"/>
        <v>NTB</v>
      </c>
    </row>
    <row r="74" spans="1:26" s="186" customFormat="1">
      <c r="A74" s="179">
        <v>61</v>
      </c>
      <c r="B74" s="179"/>
      <c r="C74" s="179"/>
      <c r="D74" s="179">
        <f>'List - Nha'!C63</f>
        <v>0</v>
      </c>
      <c r="E74" s="180" t="e">
        <f t="shared" si="30"/>
        <v>#N/A</v>
      </c>
      <c r="F74" s="181" t="s">
        <v>1083</v>
      </c>
      <c r="G74" s="181" t="s">
        <v>1084</v>
      </c>
      <c r="H74" s="181" t="e">
        <f t="shared" si="31"/>
        <v>#N/A</v>
      </c>
      <c r="I74" s="181"/>
      <c r="J74" s="181" t="e">
        <f t="shared" si="32"/>
        <v>#N/A</v>
      </c>
      <c r="K74" s="179"/>
      <c r="L74" s="179" t="e">
        <f t="shared" si="33"/>
        <v>#N/A</v>
      </c>
      <c r="M74" s="179" t="e">
        <f t="shared" si="34"/>
        <v>#N/A</v>
      </c>
      <c r="N74" s="182" t="e">
        <f t="shared" si="35"/>
        <v>#N/A</v>
      </c>
      <c r="O74" s="179"/>
      <c r="P74" s="179"/>
      <c r="Q74" s="179">
        <f t="shared" si="36"/>
        <v>0</v>
      </c>
      <c r="R74" s="179">
        <f t="shared" si="37"/>
        <v>1</v>
      </c>
      <c r="S74" s="183"/>
      <c r="T74" s="179"/>
      <c r="U74" s="179"/>
      <c r="V74" s="179"/>
      <c r="W74" s="179"/>
      <c r="X74" s="182" t="e">
        <f t="shared" si="38"/>
        <v>#N/A</v>
      </c>
      <c r="Y74" s="186" t="e">
        <f t="shared" si="14"/>
        <v>#N/A</v>
      </c>
      <c r="Z74" s="186" t="str">
        <f t="shared" si="15"/>
        <v>0</v>
      </c>
    </row>
    <row r="75" spans="1:26" s="186" customFormat="1">
      <c r="A75" s="179">
        <v>62</v>
      </c>
      <c r="B75" s="179"/>
      <c r="C75" s="179"/>
      <c r="D75" s="179">
        <f>'List - Nha'!C64</f>
        <v>0</v>
      </c>
      <c r="E75" s="180" t="e">
        <f t="shared" si="30"/>
        <v>#N/A</v>
      </c>
      <c r="F75" s="181" t="s">
        <v>1083</v>
      </c>
      <c r="G75" s="181" t="s">
        <v>1084</v>
      </c>
      <c r="H75" s="181" t="e">
        <f t="shared" si="31"/>
        <v>#N/A</v>
      </c>
      <c r="I75" s="181"/>
      <c r="J75" s="181" t="e">
        <f t="shared" si="32"/>
        <v>#N/A</v>
      </c>
      <c r="K75" s="179"/>
      <c r="L75" s="179" t="e">
        <f t="shared" si="33"/>
        <v>#N/A</v>
      </c>
      <c r="M75" s="179" t="e">
        <f t="shared" si="34"/>
        <v>#N/A</v>
      </c>
      <c r="N75" s="182" t="e">
        <f t="shared" si="35"/>
        <v>#N/A</v>
      </c>
      <c r="O75" s="179"/>
      <c r="P75" s="179"/>
      <c r="Q75" s="179">
        <f t="shared" si="36"/>
        <v>0</v>
      </c>
      <c r="R75" s="179">
        <f t="shared" si="37"/>
        <v>1</v>
      </c>
      <c r="S75" s="183"/>
      <c r="T75" s="179"/>
      <c r="U75" s="179"/>
      <c r="V75" s="179"/>
      <c r="W75" s="179"/>
      <c r="X75" s="182" t="e">
        <f t="shared" si="38"/>
        <v>#N/A</v>
      </c>
      <c r="Y75" s="186" t="e">
        <f t="shared" si="14"/>
        <v>#N/A</v>
      </c>
      <c r="Z75" s="186" t="str">
        <f t="shared" si="15"/>
        <v>0</v>
      </c>
    </row>
    <row r="76" spans="1:26" s="186" customFormat="1">
      <c r="A76" s="179">
        <v>63</v>
      </c>
      <c r="B76" s="179"/>
      <c r="C76" s="179"/>
      <c r="D76" s="179">
        <f>'List - Nha'!C65</f>
        <v>0</v>
      </c>
      <c r="E76" s="180" t="e">
        <f t="shared" si="30"/>
        <v>#N/A</v>
      </c>
      <c r="F76" s="181" t="s">
        <v>1083</v>
      </c>
      <c r="G76" s="181" t="s">
        <v>1084</v>
      </c>
      <c r="H76" s="181" t="e">
        <f t="shared" si="31"/>
        <v>#N/A</v>
      </c>
      <c r="I76" s="181"/>
      <c r="J76" s="181" t="e">
        <f t="shared" si="32"/>
        <v>#N/A</v>
      </c>
      <c r="K76" s="179"/>
      <c r="L76" s="179" t="e">
        <f t="shared" si="33"/>
        <v>#N/A</v>
      </c>
      <c r="M76" s="179" t="e">
        <f t="shared" si="34"/>
        <v>#N/A</v>
      </c>
      <c r="N76" s="182" t="e">
        <f t="shared" si="35"/>
        <v>#N/A</v>
      </c>
      <c r="O76" s="179"/>
      <c r="P76" s="179"/>
      <c r="Q76" s="179">
        <f t="shared" si="36"/>
        <v>0</v>
      </c>
      <c r="R76" s="179">
        <f t="shared" si="37"/>
        <v>1</v>
      </c>
      <c r="S76" s="183"/>
      <c r="T76" s="179"/>
      <c r="U76" s="179"/>
      <c r="V76" s="179"/>
      <c r="W76" s="179"/>
      <c r="X76" s="182" t="e">
        <f t="shared" si="38"/>
        <v>#N/A</v>
      </c>
      <c r="Y76" s="186" t="e">
        <f t="shared" si="14"/>
        <v>#N/A</v>
      </c>
      <c r="Z76" s="186" t="str">
        <f t="shared" si="15"/>
        <v>0</v>
      </c>
    </row>
    <row r="77" spans="1:26" s="186" customFormat="1">
      <c r="A77" s="179">
        <v>64</v>
      </c>
      <c r="B77" s="179"/>
      <c r="C77" s="179"/>
      <c r="D77" s="179">
        <f>'List - Nha'!C66</f>
        <v>0</v>
      </c>
      <c r="E77" s="180" t="e">
        <f t="shared" si="30"/>
        <v>#N/A</v>
      </c>
      <c r="F77" s="181" t="s">
        <v>1083</v>
      </c>
      <c r="G77" s="181" t="s">
        <v>1084</v>
      </c>
      <c r="H77" s="181" t="e">
        <f t="shared" si="31"/>
        <v>#N/A</v>
      </c>
      <c r="I77" s="181"/>
      <c r="J77" s="181" t="e">
        <f t="shared" si="32"/>
        <v>#N/A</v>
      </c>
      <c r="K77" s="179"/>
      <c r="L77" s="179" t="e">
        <f t="shared" si="33"/>
        <v>#N/A</v>
      </c>
      <c r="M77" s="179" t="e">
        <f t="shared" si="34"/>
        <v>#N/A</v>
      </c>
      <c r="N77" s="182" t="e">
        <f t="shared" si="35"/>
        <v>#N/A</v>
      </c>
      <c r="O77" s="179"/>
      <c r="P77" s="179"/>
      <c r="Q77" s="179">
        <f t="shared" si="36"/>
        <v>0</v>
      </c>
      <c r="R77" s="179">
        <f t="shared" si="37"/>
        <v>1</v>
      </c>
      <c r="S77" s="183"/>
      <c r="T77" s="179"/>
      <c r="U77" s="179"/>
      <c r="V77" s="179"/>
      <c r="W77" s="179"/>
      <c r="X77" s="182" t="e">
        <f t="shared" si="38"/>
        <v>#N/A</v>
      </c>
      <c r="Y77" s="186" t="e">
        <f t="shared" si="14"/>
        <v>#N/A</v>
      </c>
      <c r="Z77" s="186" t="str">
        <f t="shared" si="15"/>
        <v>0</v>
      </c>
    </row>
    <row r="78" spans="1:26" s="186" customFormat="1">
      <c r="A78" s="179">
        <v>65</v>
      </c>
      <c r="B78" s="179"/>
      <c r="C78" s="179"/>
      <c r="D78" s="179">
        <f>'List - Nha'!C67</f>
        <v>0</v>
      </c>
      <c r="E78" s="180" t="e">
        <f t="shared" si="30"/>
        <v>#N/A</v>
      </c>
      <c r="F78" s="181" t="s">
        <v>1083</v>
      </c>
      <c r="G78" s="181" t="s">
        <v>1084</v>
      </c>
      <c r="H78" s="181" t="e">
        <f t="shared" si="31"/>
        <v>#N/A</v>
      </c>
      <c r="I78" s="181"/>
      <c r="J78" s="181" t="e">
        <f t="shared" si="32"/>
        <v>#N/A</v>
      </c>
      <c r="K78" s="179"/>
      <c r="L78" s="179" t="e">
        <f t="shared" si="33"/>
        <v>#N/A</v>
      </c>
      <c r="M78" s="179" t="e">
        <f t="shared" si="34"/>
        <v>#N/A</v>
      </c>
      <c r="N78" s="182" t="e">
        <f t="shared" si="35"/>
        <v>#N/A</v>
      </c>
      <c r="O78" s="179"/>
      <c r="P78" s="179"/>
      <c r="Q78" s="179">
        <f t="shared" si="36"/>
        <v>0</v>
      </c>
      <c r="R78" s="179">
        <f t="shared" si="37"/>
        <v>1</v>
      </c>
      <c r="S78" s="183"/>
      <c r="T78" s="179"/>
      <c r="U78" s="179"/>
      <c r="V78" s="179"/>
      <c r="W78" s="179"/>
      <c r="X78" s="182" t="e">
        <f t="shared" si="38"/>
        <v>#N/A</v>
      </c>
      <c r="Y78" s="186" t="e">
        <f t="shared" si="14"/>
        <v>#N/A</v>
      </c>
      <c r="Z78" s="186" t="str">
        <f t="shared" si="15"/>
        <v>0</v>
      </c>
    </row>
    <row r="79" spans="1:26" s="186" customFormat="1">
      <c r="A79" s="179">
        <v>66</v>
      </c>
      <c r="B79" s="179"/>
      <c r="C79" s="179"/>
      <c r="D79" s="179">
        <f>'List - Nha'!C68</f>
        <v>0</v>
      </c>
      <c r="E79" s="180" t="e">
        <f t="shared" si="30"/>
        <v>#N/A</v>
      </c>
      <c r="F79" s="181" t="s">
        <v>1083</v>
      </c>
      <c r="G79" s="181" t="s">
        <v>1084</v>
      </c>
      <c r="H79" s="181" t="e">
        <f t="shared" si="31"/>
        <v>#N/A</v>
      </c>
      <c r="I79" s="181"/>
      <c r="J79" s="181" t="e">
        <f t="shared" si="32"/>
        <v>#N/A</v>
      </c>
      <c r="K79" s="179"/>
      <c r="L79" s="179" t="e">
        <f t="shared" si="33"/>
        <v>#N/A</v>
      </c>
      <c r="M79" s="179" t="e">
        <f t="shared" si="34"/>
        <v>#N/A</v>
      </c>
      <c r="N79" s="182" t="e">
        <f t="shared" si="35"/>
        <v>#N/A</v>
      </c>
      <c r="O79" s="179"/>
      <c r="P79" s="179"/>
      <c r="Q79" s="179">
        <f t="shared" si="36"/>
        <v>0</v>
      </c>
      <c r="R79" s="179">
        <f t="shared" si="37"/>
        <v>1</v>
      </c>
      <c r="S79" s="183"/>
      <c r="T79" s="179"/>
      <c r="U79" s="179"/>
      <c r="V79" s="179"/>
      <c r="W79" s="179"/>
      <c r="X79" s="182" t="e">
        <f t="shared" si="38"/>
        <v>#N/A</v>
      </c>
      <c r="Y79" s="186" t="e">
        <f t="shared" ref="Y79:Y137" si="39">VLOOKUP($Z79,$AB$14:$AC$26,2,0)</f>
        <v>#N/A</v>
      </c>
      <c r="Z79" s="186" t="str">
        <f t="shared" ref="Z79:Z142" si="40">LEFT(D79,3)</f>
        <v>0</v>
      </c>
    </row>
    <row r="80" spans="1:26" s="186" customFormat="1">
      <c r="A80" s="179">
        <v>67</v>
      </c>
      <c r="B80" s="179"/>
      <c r="C80" s="179"/>
      <c r="D80" s="179">
        <f>'List - Nha'!C69</f>
        <v>0</v>
      </c>
      <c r="E80" s="180" t="e">
        <f t="shared" si="30"/>
        <v>#N/A</v>
      </c>
      <c r="F80" s="181" t="s">
        <v>1083</v>
      </c>
      <c r="G80" s="181" t="s">
        <v>1084</v>
      </c>
      <c r="H80" s="181" t="e">
        <f t="shared" si="31"/>
        <v>#N/A</v>
      </c>
      <c r="I80" s="181"/>
      <c r="J80" s="181" t="e">
        <f t="shared" si="32"/>
        <v>#N/A</v>
      </c>
      <c r="K80" s="179"/>
      <c r="L80" s="179" t="e">
        <f t="shared" si="33"/>
        <v>#N/A</v>
      </c>
      <c r="M80" s="179" t="e">
        <f t="shared" si="34"/>
        <v>#N/A</v>
      </c>
      <c r="N80" s="182" t="e">
        <f t="shared" si="35"/>
        <v>#N/A</v>
      </c>
      <c r="O80" s="179"/>
      <c r="P80" s="179"/>
      <c r="Q80" s="179">
        <f t="shared" si="36"/>
        <v>0</v>
      </c>
      <c r="R80" s="179">
        <f t="shared" si="37"/>
        <v>1</v>
      </c>
      <c r="S80" s="183"/>
      <c r="T80" s="179"/>
      <c r="U80" s="179"/>
      <c r="V80" s="179"/>
      <c r="W80" s="179"/>
      <c r="X80" s="182" t="e">
        <f t="shared" si="38"/>
        <v>#N/A</v>
      </c>
      <c r="Y80" s="186" t="e">
        <f t="shared" si="39"/>
        <v>#N/A</v>
      </c>
      <c r="Z80" s="186" t="str">
        <f t="shared" si="40"/>
        <v>0</v>
      </c>
    </row>
    <row r="81" spans="1:26" s="186" customFormat="1">
      <c r="A81" s="179">
        <v>68</v>
      </c>
      <c r="B81" s="179"/>
      <c r="C81" s="179"/>
      <c r="D81" s="179">
        <f>'List - Nha'!C70</f>
        <v>0</v>
      </c>
      <c r="E81" s="180" t="e">
        <f t="shared" si="30"/>
        <v>#N/A</v>
      </c>
      <c r="F81" s="181" t="s">
        <v>1083</v>
      </c>
      <c r="G81" s="181" t="s">
        <v>1084</v>
      </c>
      <c r="H81" s="181" t="e">
        <f t="shared" si="31"/>
        <v>#N/A</v>
      </c>
      <c r="I81" s="181"/>
      <c r="J81" s="181" t="e">
        <f t="shared" si="32"/>
        <v>#N/A</v>
      </c>
      <c r="K81" s="179"/>
      <c r="L81" s="179" t="e">
        <f t="shared" si="33"/>
        <v>#N/A</v>
      </c>
      <c r="M81" s="179" t="e">
        <f t="shared" si="34"/>
        <v>#N/A</v>
      </c>
      <c r="N81" s="182" t="e">
        <f t="shared" si="35"/>
        <v>#N/A</v>
      </c>
      <c r="O81" s="179"/>
      <c r="P81" s="179"/>
      <c r="Q81" s="179">
        <f t="shared" si="36"/>
        <v>0</v>
      </c>
      <c r="R81" s="179">
        <f t="shared" si="37"/>
        <v>1</v>
      </c>
      <c r="S81" s="183"/>
      <c r="T81" s="179"/>
      <c r="U81" s="179"/>
      <c r="V81" s="179"/>
      <c r="W81" s="179"/>
      <c r="X81" s="182" t="e">
        <f t="shared" si="38"/>
        <v>#N/A</v>
      </c>
      <c r="Y81" s="186" t="e">
        <f t="shared" si="39"/>
        <v>#N/A</v>
      </c>
      <c r="Z81" s="186" t="str">
        <f t="shared" si="40"/>
        <v>0</v>
      </c>
    </row>
    <row r="82" spans="1:26" s="186" customFormat="1">
      <c r="A82" s="179">
        <v>69</v>
      </c>
      <c r="B82" s="179"/>
      <c r="C82" s="179"/>
      <c r="D82" s="179">
        <f>'List - Nha'!C71</f>
        <v>0</v>
      </c>
      <c r="E82" s="180" t="e">
        <f t="shared" si="30"/>
        <v>#N/A</v>
      </c>
      <c r="F82" s="181" t="s">
        <v>1083</v>
      </c>
      <c r="G82" s="181" t="s">
        <v>1084</v>
      </c>
      <c r="H82" s="181" t="e">
        <f t="shared" si="31"/>
        <v>#N/A</v>
      </c>
      <c r="I82" s="181"/>
      <c r="J82" s="181" t="e">
        <f t="shared" si="32"/>
        <v>#N/A</v>
      </c>
      <c r="K82" s="179"/>
      <c r="L82" s="179" t="e">
        <f t="shared" si="33"/>
        <v>#N/A</v>
      </c>
      <c r="M82" s="179" t="e">
        <f t="shared" si="34"/>
        <v>#N/A</v>
      </c>
      <c r="N82" s="182" t="e">
        <f t="shared" si="35"/>
        <v>#N/A</v>
      </c>
      <c r="O82" s="179"/>
      <c r="P82" s="179"/>
      <c r="Q82" s="179">
        <f t="shared" si="36"/>
        <v>0</v>
      </c>
      <c r="R82" s="179">
        <f t="shared" si="37"/>
        <v>1</v>
      </c>
      <c r="S82" s="183"/>
      <c r="T82" s="179"/>
      <c r="U82" s="179"/>
      <c r="V82" s="179"/>
      <c r="W82" s="179"/>
      <c r="X82" s="182" t="e">
        <f t="shared" si="38"/>
        <v>#N/A</v>
      </c>
      <c r="Y82" s="186" t="e">
        <f t="shared" si="39"/>
        <v>#N/A</v>
      </c>
      <c r="Z82" s="186" t="str">
        <f t="shared" si="40"/>
        <v>0</v>
      </c>
    </row>
    <row r="83" spans="1:26" s="186" customFormat="1">
      <c r="A83" s="179">
        <v>70</v>
      </c>
      <c r="B83" s="179"/>
      <c r="C83" s="179"/>
      <c r="D83" s="179">
        <f>'List - Nha'!C72</f>
        <v>0</v>
      </c>
      <c r="E83" s="180" t="e">
        <f t="shared" si="30"/>
        <v>#N/A</v>
      </c>
      <c r="F83" s="181" t="s">
        <v>1083</v>
      </c>
      <c r="G83" s="181" t="s">
        <v>1084</v>
      </c>
      <c r="H83" s="181" t="e">
        <f t="shared" si="31"/>
        <v>#N/A</v>
      </c>
      <c r="I83" s="181"/>
      <c r="J83" s="181" t="e">
        <f t="shared" si="32"/>
        <v>#N/A</v>
      </c>
      <c r="K83" s="179"/>
      <c r="L83" s="179" t="e">
        <f t="shared" si="33"/>
        <v>#N/A</v>
      </c>
      <c r="M83" s="179" t="e">
        <f t="shared" si="34"/>
        <v>#N/A</v>
      </c>
      <c r="N83" s="182" t="e">
        <f t="shared" si="35"/>
        <v>#N/A</v>
      </c>
      <c r="O83" s="179"/>
      <c r="P83" s="179"/>
      <c r="Q83" s="179">
        <f t="shared" si="36"/>
        <v>0</v>
      </c>
      <c r="R83" s="179">
        <f t="shared" si="37"/>
        <v>1</v>
      </c>
      <c r="S83" s="183"/>
      <c r="T83" s="179"/>
      <c r="U83" s="179"/>
      <c r="V83" s="179"/>
      <c r="W83" s="179"/>
      <c r="X83" s="182" t="e">
        <f t="shared" si="38"/>
        <v>#N/A</v>
      </c>
      <c r="Y83" s="186" t="e">
        <f t="shared" si="39"/>
        <v>#N/A</v>
      </c>
      <c r="Z83" s="186" t="str">
        <f t="shared" si="40"/>
        <v>0</v>
      </c>
    </row>
    <row r="84" spans="1:26" s="186" customFormat="1">
      <c r="A84" s="179">
        <v>71</v>
      </c>
      <c r="B84" s="179"/>
      <c r="C84" s="179"/>
      <c r="D84" s="179">
        <f>'List - Nha'!C73</f>
        <v>0</v>
      </c>
      <c r="E84" s="180" t="e">
        <f t="shared" si="30"/>
        <v>#N/A</v>
      </c>
      <c r="F84" s="181" t="s">
        <v>1083</v>
      </c>
      <c r="G84" s="181" t="s">
        <v>1084</v>
      </c>
      <c r="H84" s="181" t="e">
        <f t="shared" si="31"/>
        <v>#N/A</v>
      </c>
      <c r="I84" s="181"/>
      <c r="J84" s="181" t="e">
        <f t="shared" si="32"/>
        <v>#N/A</v>
      </c>
      <c r="K84" s="179"/>
      <c r="L84" s="179" t="e">
        <f t="shared" si="33"/>
        <v>#N/A</v>
      </c>
      <c r="M84" s="179" t="e">
        <f t="shared" si="34"/>
        <v>#N/A</v>
      </c>
      <c r="N84" s="182" t="e">
        <f t="shared" si="35"/>
        <v>#N/A</v>
      </c>
      <c r="O84" s="179"/>
      <c r="P84" s="179"/>
      <c r="Q84" s="179">
        <f t="shared" si="36"/>
        <v>0</v>
      </c>
      <c r="R84" s="179">
        <f t="shared" si="37"/>
        <v>1</v>
      </c>
      <c r="S84" s="183"/>
      <c r="T84" s="179"/>
      <c r="U84" s="179"/>
      <c r="V84" s="179"/>
      <c r="W84" s="179"/>
      <c r="X84" s="182" t="e">
        <f t="shared" si="38"/>
        <v>#N/A</v>
      </c>
      <c r="Y84" s="186" t="e">
        <f t="shared" si="39"/>
        <v>#N/A</v>
      </c>
      <c r="Z84" s="186" t="str">
        <f t="shared" si="40"/>
        <v>0</v>
      </c>
    </row>
    <row r="85" spans="1:26" s="186" customFormat="1">
      <c r="A85" s="179">
        <v>72</v>
      </c>
      <c r="B85" s="179"/>
      <c r="C85" s="179"/>
      <c r="D85" s="179">
        <f>'List - Nha'!C74</f>
        <v>0</v>
      </c>
      <c r="E85" s="180" t="e">
        <f t="shared" si="30"/>
        <v>#N/A</v>
      </c>
      <c r="F85" s="181" t="s">
        <v>1083</v>
      </c>
      <c r="G85" s="181" t="s">
        <v>1084</v>
      </c>
      <c r="H85" s="181" t="e">
        <f t="shared" si="31"/>
        <v>#N/A</v>
      </c>
      <c r="I85" s="181"/>
      <c r="J85" s="181" t="e">
        <f t="shared" si="32"/>
        <v>#N/A</v>
      </c>
      <c r="K85" s="179"/>
      <c r="L85" s="179" t="e">
        <f t="shared" si="33"/>
        <v>#N/A</v>
      </c>
      <c r="M85" s="179" t="e">
        <f t="shared" si="34"/>
        <v>#N/A</v>
      </c>
      <c r="N85" s="182" t="e">
        <f t="shared" si="35"/>
        <v>#N/A</v>
      </c>
      <c r="O85" s="179"/>
      <c r="P85" s="179"/>
      <c r="Q85" s="179">
        <f t="shared" si="36"/>
        <v>0</v>
      </c>
      <c r="R85" s="179">
        <f t="shared" si="37"/>
        <v>1</v>
      </c>
      <c r="S85" s="183"/>
      <c r="T85" s="179"/>
      <c r="U85" s="179"/>
      <c r="V85" s="179"/>
      <c r="W85" s="179"/>
      <c r="X85" s="182" t="e">
        <f t="shared" si="38"/>
        <v>#N/A</v>
      </c>
      <c r="Y85" s="186" t="e">
        <f t="shared" si="39"/>
        <v>#N/A</v>
      </c>
      <c r="Z85" s="186" t="str">
        <f t="shared" si="40"/>
        <v>0</v>
      </c>
    </row>
    <row r="86" spans="1:26" s="186" customFormat="1">
      <c r="A86" s="179">
        <v>73</v>
      </c>
      <c r="B86" s="179"/>
      <c r="C86" s="179"/>
      <c r="D86" s="179">
        <f>'List - Nha'!C75</f>
        <v>0</v>
      </c>
      <c r="E86" s="180" t="e">
        <f t="shared" si="30"/>
        <v>#N/A</v>
      </c>
      <c r="F86" s="181" t="s">
        <v>1083</v>
      </c>
      <c r="G86" s="181" t="s">
        <v>1084</v>
      </c>
      <c r="H86" s="181" t="e">
        <f t="shared" si="31"/>
        <v>#N/A</v>
      </c>
      <c r="I86" s="181"/>
      <c r="J86" s="181" t="e">
        <f t="shared" si="32"/>
        <v>#N/A</v>
      </c>
      <c r="K86" s="179"/>
      <c r="L86" s="179" t="e">
        <f t="shared" si="33"/>
        <v>#N/A</v>
      </c>
      <c r="M86" s="179" t="e">
        <f t="shared" si="34"/>
        <v>#N/A</v>
      </c>
      <c r="N86" s="182" t="e">
        <f t="shared" si="35"/>
        <v>#N/A</v>
      </c>
      <c r="O86" s="179"/>
      <c r="P86" s="179"/>
      <c r="Q86" s="179">
        <f t="shared" si="36"/>
        <v>0</v>
      </c>
      <c r="R86" s="179">
        <f t="shared" si="37"/>
        <v>1</v>
      </c>
      <c r="S86" s="183"/>
      <c r="T86" s="179"/>
      <c r="U86" s="179"/>
      <c r="V86" s="179"/>
      <c r="W86" s="179"/>
      <c r="X86" s="182" t="e">
        <f t="shared" si="38"/>
        <v>#N/A</v>
      </c>
      <c r="Y86" s="186" t="e">
        <f t="shared" si="39"/>
        <v>#N/A</v>
      </c>
      <c r="Z86" s="186" t="str">
        <f t="shared" si="40"/>
        <v>0</v>
      </c>
    </row>
    <row r="87" spans="1:26" s="186" customFormat="1">
      <c r="A87" s="179">
        <v>74</v>
      </c>
      <c r="B87" s="179"/>
      <c r="C87" s="179"/>
      <c r="D87" s="179">
        <f>'List - Nha'!C76</f>
        <v>0</v>
      </c>
      <c r="E87" s="180" t="e">
        <f t="shared" si="30"/>
        <v>#N/A</v>
      </c>
      <c r="F87" s="181" t="s">
        <v>1083</v>
      </c>
      <c r="G87" s="181" t="s">
        <v>1084</v>
      </c>
      <c r="H87" s="181" t="e">
        <f t="shared" si="31"/>
        <v>#N/A</v>
      </c>
      <c r="I87" s="181"/>
      <c r="J87" s="181" t="e">
        <f t="shared" si="32"/>
        <v>#N/A</v>
      </c>
      <c r="K87" s="179"/>
      <c r="L87" s="179" t="e">
        <f t="shared" si="33"/>
        <v>#N/A</v>
      </c>
      <c r="M87" s="179" t="e">
        <f t="shared" si="34"/>
        <v>#N/A</v>
      </c>
      <c r="N87" s="182" t="e">
        <f t="shared" si="35"/>
        <v>#N/A</v>
      </c>
      <c r="O87" s="179"/>
      <c r="P87" s="179"/>
      <c r="Q87" s="179">
        <f t="shared" si="36"/>
        <v>0</v>
      </c>
      <c r="R87" s="179">
        <f t="shared" si="37"/>
        <v>1</v>
      </c>
      <c r="S87" s="183"/>
      <c r="T87" s="179"/>
      <c r="U87" s="179"/>
      <c r="V87" s="179"/>
      <c r="W87" s="179"/>
      <c r="X87" s="182" t="e">
        <f t="shared" si="38"/>
        <v>#N/A</v>
      </c>
      <c r="Y87" s="186" t="e">
        <f t="shared" si="39"/>
        <v>#N/A</v>
      </c>
      <c r="Z87" s="186" t="str">
        <f t="shared" si="40"/>
        <v>0</v>
      </c>
    </row>
    <row r="88" spans="1:26" s="186" customFormat="1">
      <c r="A88" s="179">
        <v>75</v>
      </c>
      <c r="B88" s="179"/>
      <c r="C88" s="179"/>
      <c r="D88" s="179">
        <f>'List - Nha'!C77</f>
        <v>0</v>
      </c>
      <c r="E88" s="180" t="e">
        <f t="shared" si="30"/>
        <v>#N/A</v>
      </c>
      <c r="F88" s="181" t="s">
        <v>1083</v>
      </c>
      <c r="G88" s="181" t="s">
        <v>1084</v>
      </c>
      <c r="H88" s="181" t="e">
        <f t="shared" si="31"/>
        <v>#N/A</v>
      </c>
      <c r="I88" s="181"/>
      <c r="J88" s="181" t="e">
        <f t="shared" si="32"/>
        <v>#N/A</v>
      </c>
      <c r="K88" s="179"/>
      <c r="L88" s="179" t="e">
        <f t="shared" si="33"/>
        <v>#N/A</v>
      </c>
      <c r="M88" s="179" t="e">
        <f t="shared" si="34"/>
        <v>#N/A</v>
      </c>
      <c r="N88" s="182" t="e">
        <f t="shared" si="35"/>
        <v>#N/A</v>
      </c>
      <c r="O88" s="179"/>
      <c r="P88" s="179"/>
      <c r="Q88" s="179">
        <f t="shared" si="36"/>
        <v>0</v>
      </c>
      <c r="R88" s="179">
        <f t="shared" si="37"/>
        <v>1</v>
      </c>
      <c r="S88" s="183"/>
      <c r="T88" s="179"/>
      <c r="U88" s="179"/>
      <c r="V88" s="179"/>
      <c r="W88" s="179"/>
      <c r="X88" s="182" t="e">
        <f t="shared" si="38"/>
        <v>#N/A</v>
      </c>
      <c r="Y88" s="186" t="e">
        <f t="shared" si="39"/>
        <v>#N/A</v>
      </c>
      <c r="Z88" s="186" t="str">
        <f t="shared" si="40"/>
        <v>0</v>
      </c>
    </row>
    <row r="89" spans="1:26" s="186" customFormat="1">
      <c r="A89" s="179">
        <v>76</v>
      </c>
      <c r="B89" s="179"/>
      <c r="C89" s="179"/>
      <c r="D89" s="179">
        <f>'List - Nha'!C78</f>
        <v>0</v>
      </c>
      <c r="E89" s="180" t="e">
        <f t="shared" si="30"/>
        <v>#N/A</v>
      </c>
      <c r="F89" s="181" t="s">
        <v>1083</v>
      </c>
      <c r="G89" s="181" t="s">
        <v>1084</v>
      </c>
      <c r="H89" s="181" t="e">
        <f t="shared" si="31"/>
        <v>#N/A</v>
      </c>
      <c r="I89" s="181"/>
      <c r="J89" s="181" t="e">
        <f t="shared" si="32"/>
        <v>#N/A</v>
      </c>
      <c r="K89" s="179"/>
      <c r="L89" s="179" t="e">
        <f t="shared" si="33"/>
        <v>#N/A</v>
      </c>
      <c r="M89" s="179" t="e">
        <f t="shared" si="34"/>
        <v>#N/A</v>
      </c>
      <c r="N89" s="182" t="e">
        <f t="shared" si="35"/>
        <v>#N/A</v>
      </c>
      <c r="O89" s="179"/>
      <c r="P89" s="179"/>
      <c r="Q89" s="179">
        <f t="shared" si="36"/>
        <v>0</v>
      </c>
      <c r="R89" s="179">
        <f t="shared" si="37"/>
        <v>1</v>
      </c>
      <c r="S89" s="183"/>
      <c r="T89" s="179"/>
      <c r="U89" s="179"/>
      <c r="V89" s="179"/>
      <c r="W89" s="179"/>
      <c r="X89" s="182" t="e">
        <f t="shared" si="38"/>
        <v>#N/A</v>
      </c>
      <c r="Y89" s="186" t="e">
        <f t="shared" si="39"/>
        <v>#N/A</v>
      </c>
      <c r="Z89" s="186" t="str">
        <f t="shared" si="40"/>
        <v>0</v>
      </c>
    </row>
    <row r="90" spans="1:26" s="186" customFormat="1">
      <c r="A90" s="179">
        <v>77</v>
      </c>
      <c r="B90" s="179"/>
      <c r="C90" s="179"/>
      <c r="D90" s="179">
        <f>'List - Nha'!C79</f>
        <v>0</v>
      </c>
      <c r="E90" s="180" t="e">
        <f t="shared" si="30"/>
        <v>#N/A</v>
      </c>
      <c r="F90" s="181" t="s">
        <v>1083</v>
      </c>
      <c r="G90" s="181" t="s">
        <v>1084</v>
      </c>
      <c r="H90" s="181" t="e">
        <f t="shared" si="31"/>
        <v>#N/A</v>
      </c>
      <c r="I90" s="181"/>
      <c r="J90" s="181" t="e">
        <f t="shared" si="32"/>
        <v>#N/A</v>
      </c>
      <c r="K90" s="179"/>
      <c r="L90" s="179" t="e">
        <f t="shared" si="33"/>
        <v>#N/A</v>
      </c>
      <c r="M90" s="179" t="e">
        <f t="shared" si="34"/>
        <v>#N/A</v>
      </c>
      <c r="N90" s="182" t="e">
        <f t="shared" si="35"/>
        <v>#N/A</v>
      </c>
      <c r="O90" s="179"/>
      <c r="P90" s="179"/>
      <c r="Q90" s="179">
        <f t="shared" si="36"/>
        <v>0</v>
      </c>
      <c r="R90" s="179">
        <f t="shared" si="37"/>
        <v>1</v>
      </c>
      <c r="S90" s="183"/>
      <c r="T90" s="179"/>
      <c r="U90" s="179"/>
      <c r="V90" s="179"/>
      <c r="W90" s="179"/>
      <c r="X90" s="182" t="e">
        <f t="shared" si="38"/>
        <v>#N/A</v>
      </c>
      <c r="Y90" s="186" t="e">
        <f t="shared" si="39"/>
        <v>#N/A</v>
      </c>
      <c r="Z90" s="186" t="str">
        <f t="shared" si="40"/>
        <v>0</v>
      </c>
    </row>
    <row r="91" spans="1:26" s="186" customFormat="1">
      <c r="A91" s="179">
        <v>78</v>
      </c>
      <c r="B91" s="179"/>
      <c r="C91" s="179"/>
      <c r="D91" s="179">
        <f>'List - Nha'!C80</f>
        <v>0</v>
      </c>
      <c r="E91" s="180" t="e">
        <f t="shared" si="30"/>
        <v>#N/A</v>
      </c>
      <c r="F91" s="181" t="s">
        <v>1083</v>
      </c>
      <c r="G91" s="181" t="s">
        <v>1084</v>
      </c>
      <c r="H91" s="181" t="e">
        <f t="shared" si="31"/>
        <v>#N/A</v>
      </c>
      <c r="I91" s="181"/>
      <c r="J91" s="181" t="e">
        <f t="shared" si="32"/>
        <v>#N/A</v>
      </c>
      <c r="K91" s="179"/>
      <c r="L91" s="179" t="e">
        <f t="shared" si="33"/>
        <v>#N/A</v>
      </c>
      <c r="M91" s="179" t="e">
        <f t="shared" si="34"/>
        <v>#N/A</v>
      </c>
      <c r="N91" s="182" t="e">
        <f t="shared" si="35"/>
        <v>#N/A</v>
      </c>
      <c r="O91" s="179"/>
      <c r="P91" s="179"/>
      <c r="Q91" s="179">
        <f t="shared" si="36"/>
        <v>0</v>
      </c>
      <c r="R91" s="179">
        <f t="shared" si="37"/>
        <v>1</v>
      </c>
      <c r="S91" s="183"/>
      <c r="T91" s="179"/>
      <c r="U91" s="179"/>
      <c r="V91" s="179"/>
      <c r="W91" s="179"/>
      <c r="X91" s="182" t="e">
        <f t="shared" si="38"/>
        <v>#N/A</v>
      </c>
      <c r="Y91" s="186" t="e">
        <f t="shared" si="39"/>
        <v>#N/A</v>
      </c>
      <c r="Z91" s="186" t="str">
        <f t="shared" si="40"/>
        <v>0</v>
      </c>
    </row>
    <row r="92" spans="1:26" s="186" customFormat="1">
      <c r="A92" s="179">
        <v>79</v>
      </c>
      <c r="B92" s="179"/>
      <c r="C92" s="179"/>
      <c r="D92" s="179">
        <f>'List - Nha'!C81</f>
        <v>0</v>
      </c>
      <c r="E92" s="180" t="e">
        <f t="shared" si="30"/>
        <v>#N/A</v>
      </c>
      <c r="F92" s="181" t="s">
        <v>1083</v>
      </c>
      <c r="G92" s="181" t="s">
        <v>1084</v>
      </c>
      <c r="H92" s="181" t="e">
        <f t="shared" si="31"/>
        <v>#N/A</v>
      </c>
      <c r="I92" s="181"/>
      <c r="J92" s="181" t="e">
        <f t="shared" si="32"/>
        <v>#N/A</v>
      </c>
      <c r="K92" s="179"/>
      <c r="L92" s="179" t="e">
        <f t="shared" si="33"/>
        <v>#N/A</v>
      </c>
      <c r="M92" s="179" t="e">
        <f t="shared" si="34"/>
        <v>#N/A</v>
      </c>
      <c r="N92" s="182" t="e">
        <f t="shared" si="35"/>
        <v>#N/A</v>
      </c>
      <c r="O92" s="179"/>
      <c r="P92" s="179"/>
      <c r="Q92" s="179">
        <f t="shared" si="36"/>
        <v>0</v>
      </c>
      <c r="R92" s="179">
        <f t="shared" si="37"/>
        <v>1</v>
      </c>
      <c r="S92" s="183"/>
      <c r="T92" s="179"/>
      <c r="U92" s="179"/>
      <c r="V92" s="179"/>
      <c r="W92" s="179"/>
      <c r="X92" s="182" t="e">
        <f t="shared" si="38"/>
        <v>#N/A</v>
      </c>
      <c r="Y92" s="186" t="e">
        <f t="shared" si="39"/>
        <v>#N/A</v>
      </c>
      <c r="Z92" s="186" t="str">
        <f t="shared" si="40"/>
        <v>0</v>
      </c>
    </row>
    <row r="93" spans="1:26" s="186" customFormat="1">
      <c r="A93" s="179">
        <v>80</v>
      </c>
      <c r="B93" s="179"/>
      <c r="C93" s="179"/>
      <c r="D93" s="179">
        <f>'List - Nha'!C82</f>
        <v>0</v>
      </c>
      <c r="E93" s="180" t="e">
        <f t="shared" si="30"/>
        <v>#N/A</v>
      </c>
      <c r="F93" s="181" t="s">
        <v>1083</v>
      </c>
      <c r="G93" s="181" t="s">
        <v>1084</v>
      </c>
      <c r="H93" s="181" t="e">
        <f t="shared" si="31"/>
        <v>#N/A</v>
      </c>
      <c r="I93" s="181"/>
      <c r="J93" s="181" t="e">
        <f t="shared" si="32"/>
        <v>#N/A</v>
      </c>
      <c r="K93" s="179"/>
      <c r="L93" s="179" t="e">
        <f t="shared" si="33"/>
        <v>#N/A</v>
      </c>
      <c r="M93" s="179" t="e">
        <f t="shared" si="34"/>
        <v>#N/A</v>
      </c>
      <c r="N93" s="182" t="e">
        <f t="shared" si="35"/>
        <v>#N/A</v>
      </c>
      <c r="O93" s="179"/>
      <c r="P93" s="179"/>
      <c r="Q93" s="179">
        <f t="shared" si="36"/>
        <v>0</v>
      </c>
      <c r="R93" s="179">
        <f t="shared" si="37"/>
        <v>1</v>
      </c>
      <c r="S93" s="183"/>
      <c r="T93" s="179"/>
      <c r="U93" s="179"/>
      <c r="V93" s="179"/>
      <c r="W93" s="179"/>
      <c r="X93" s="182" t="e">
        <f t="shared" si="38"/>
        <v>#N/A</v>
      </c>
      <c r="Y93" s="186" t="e">
        <f t="shared" si="39"/>
        <v>#N/A</v>
      </c>
      <c r="Z93" s="186" t="str">
        <f t="shared" si="40"/>
        <v>0</v>
      </c>
    </row>
    <row r="94" spans="1:26" s="186" customFormat="1">
      <c r="A94" s="179">
        <v>81</v>
      </c>
      <c r="B94" s="179"/>
      <c r="C94" s="179"/>
      <c r="D94" s="179">
        <f>'List - Nha'!C83</f>
        <v>0</v>
      </c>
      <c r="E94" s="180" t="e">
        <f t="shared" si="30"/>
        <v>#N/A</v>
      </c>
      <c r="F94" s="181" t="s">
        <v>1083</v>
      </c>
      <c r="G94" s="181" t="s">
        <v>1084</v>
      </c>
      <c r="H94" s="181" t="e">
        <f t="shared" si="31"/>
        <v>#N/A</v>
      </c>
      <c r="I94" s="181"/>
      <c r="J94" s="181" t="e">
        <f t="shared" si="32"/>
        <v>#N/A</v>
      </c>
      <c r="K94" s="179"/>
      <c r="L94" s="179" t="e">
        <f t="shared" si="33"/>
        <v>#N/A</v>
      </c>
      <c r="M94" s="179" t="e">
        <f t="shared" si="34"/>
        <v>#N/A</v>
      </c>
      <c r="N94" s="182" t="e">
        <f t="shared" si="35"/>
        <v>#N/A</v>
      </c>
      <c r="O94" s="179"/>
      <c r="P94" s="179"/>
      <c r="Q94" s="179">
        <f t="shared" si="36"/>
        <v>0</v>
      </c>
      <c r="R94" s="179">
        <f t="shared" si="37"/>
        <v>1</v>
      </c>
      <c r="S94" s="183"/>
      <c r="T94" s="179"/>
      <c r="U94" s="179"/>
      <c r="V94" s="179"/>
      <c r="W94" s="179"/>
      <c r="X94" s="182" t="e">
        <f t="shared" si="38"/>
        <v>#N/A</v>
      </c>
      <c r="Y94" s="186" t="e">
        <f t="shared" si="39"/>
        <v>#N/A</v>
      </c>
      <c r="Z94" s="186" t="str">
        <f t="shared" si="40"/>
        <v>0</v>
      </c>
    </row>
    <row r="95" spans="1:26" s="186" customFormat="1">
      <c r="A95" s="179">
        <v>82</v>
      </c>
      <c r="B95" s="179"/>
      <c r="C95" s="179"/>
      <c r="D95" s="179">
        <f>'List - Nha'!C84</f>
        <v>0</v>
      </c>
      <c r="E95" s="180" t="e">
        <f t="shared" si="30"/>
        <v>#N/A</v>
      </c>
      <c r="F95" s="181" t="s">
        <v>1083</v>
      </c>
      <c r="G95" s="181" t="s">
        <v>1084</v>
      </c>
      <c r="H95" s="181" t="e">
        <f t="shared" si="31"/>
        <v>#N/A</v>
      </c>
      <c r="I95" s="181"/>
      <c r="J95" s="181" t="e">
        <f t="shared" si="32"/>
        <v>#N/A</v>
      </c>
      <c r="K95" s="179"/>
      <c r="L95" s="179" t="e">
        <f t="shared" si="33"/>
        <v>#N/A</v>
      </c>
      <c r="M95" s="179" t="e">
        <f t="shared" si="34"/>
        <v>#N/A</v>
      </c>
      <c r="N95" s="182" t="e">
        <f t="shared" si="35"/>
        <v>#N/A</v>
      </c>
      <c r="O95" s="179"/>
      <c r="P95" s="179"/>
      <c r="Q95" s="179">
        <f t="shared" si="36"/>
        <v>0</v>
      </c>
      <c r="R95" s="179">
        <f t="shared" si="37"/>
        <v>1</v>
      </c>
      <c r="S95" s="183"/>
      <c r="T95" s="179"/>
      <c r="U95" s="179"/>
      <c r="V95" s="179"/>
      <c r="W95" s="179"/>
      <c r="X95" s="182" t="e">
        <f t="shared" si="38"/>
        <v>#N/A</v>
      </c>
      <c r="Y95" s="186" t="e">
        <f t="shared" si="39"/>
        <v>#N/A</v>
      </c>
      <c r="Z95" s="186" t="str">
        <f t="shared" si="40"/>
        <v>0</v>
      </c>
    </row>
    <row r="96" spans="1:26" s="186" customFormat="1">
      <c r="A96" s="179">
        <v>83</v>
      </c>
      <c r="B96" s="179"/>
      <c r="C96" s="179"/>
      <c r="D96" s="179">
        <f>'List - Nha'!C85</f>
        <v>0</v>
      </c>
      <c r="E96" s="180" t="e">
        <f t="shared" si="30"/>
        <v>#N/A</v>
      </c>
      <c r="F96" s="181" t="s">
        <v>1083</v>
      </c>
      <c r="G96" s="181" t="s">
        <v>1084</v>
      </c>
      <c r="H96" s="181" t="e">
        <f t="shared" si="31"/>
        <v>#N/A</v>
      </c>
      <c r="I96" s="181"/>
      <c r="J96" s="181" t="e">
        <f t="shared" si="32"/>
        <v>#N/A</v>
      </c>
      <c r="K96" s="179"/>
      <c r="L96" s="179" t="e">
        <f t="shared" si="33"/>
        <v>#N/A</v>
      </c>
      <c r="M96" s="179" t="e">
        <f t="shared" si="34"/>
        <v>#N/A</v>
      </c>
      <c r="N96" s="182" t="e">
        <f t="shared" si="35"/>
        <v>#N/A</v>
      </c>
      <c r="O96" s="179"/>
      <c r="P96" s="179"/>
      <c r="Q96" s="179">
        <f t="shared" si="36"/>
        <v>0</v>
      </c>
      <c r="R96" s="179">
        <f t="shared" si="37"/>
        <v>1</v>
      </c>
      <c r="S96" s="183"/>
      <c r="T96" s="179"/>
      <c r="U96" s="179"/>
      <c r="V96" s="179"/>
      <c r="W96" s="179"/>
      <c r="X96" s="182" t="e">
        <f t="shared" si="38"/>
        <v>#N/A</v>
      </c>
      <c r="Y96" s="186" t="e">
        <f t="shared" si="39"/>
        <v>#N/A</v>
      </c>
      <c r="Z96" s="186" t="str">
        <f t="shared" si="40"/>
        <v>0</v>
      </c>
    </row>
    <row r="97" spans="1:26" s="186" customFormat="1">
      <c r="A97" s="179">
        <v>84</v>
      </c>
      <c r="B97" s="179"/>
      <c r="C97" s="179"/>
      <c r="D97" s="179">
        <f>'List - Nha'!C86</f>
        <v>0</v>
      </c>
      <c r="E97" s="180" t="e">
        <f t="shared" si="30"/>
        <v>#N/A</v>
      </c>
      <c r="F97" s="181" t="s">
        <v>1083</v>
      </c>
      <c r="G97" s="181" t="s">
        <v>1084</v>
      </c>
      <c r="H97" s="181" t="e">
        <f t="shared" si="31"/>
        <v>#N/A</v>
      </c>
      <c r="I97" s="181"/>
      <c r="J97" s="181" t="e">
        <f t="shared" si="32"/>
        <v>#N/A</v>
      </c>
      <c r="K97" s="179"/>
      <c r="L97" s="179" t="e">
        <f t="shared" si="33"/>
        <v>#N/A</v>
      </c>
      <c r="M97" s="179" t="e">
        <f t="shared" si="34"/>
        <v>#N/A</v>
      </c>
      <c r="N97" s="182" t="e">
        <f t="shared" si="35"/>
        <v>#N/A</v>
      </c>
      <c r="O97" s="179"/>
      <c r="P97" s="179"/>
      <c r="Q97" s="179">
        <f t="shared" si="36"/>
        <v>0</v>
      </c>
      <c r="R97" s="179">
        <f t="shared" si="37"/>
        <v>1</v>
      </c>
      <c r="S97" s="183"/>
      <c r="T97" s="179"/>
      <c r="U97" s="179"/>
      <c r="V97" s="179"/>
      <c r="W97" s="179"/>
      <c r="X97" s="182" t="e">
        <f t="shared" si="38"/>
        <v>#N/A</v>
      </c>
      <c r="Y97" s="186" t="e">
        <f t="shared" si="39"/>
        <v>#N/A</v>
      </c>
      <c r="Z97" s="186" t="str">
        <f t="shared" si="40"/>
        <v>0</v>
      </c>
    </row>
    <row r="98" spans="1:26" s="186" customFormat="1">
      <c r="A98" s="179">
        <v>85</v>
      </c>
      <c r="B98" s="179"/>
      <c r="C98" s="179"/>
      <c r="D98" s="179">
        <f>'List - Nha'!C87</f>
        <v>0</v>
      </c>
      <c r="E98" s="180" t="e">
        <f t="shared" si="30"/>
        <v>#N/A</v>
      </c>
      <c r="F98" s="181" t="s">
        <v>1083</v>
      </c>
      <c r="G98" s="181" t="s">
        <v>1084</v>
      </c>
      <c r="H98" s="181" t="e">
        <f t="shared" si="31"/>
        <v>#N/A</v>
      </c>
      <c r="I98" s="181"/>
      <c r="J98" s="181" t="e">
        <f t="shared" si="32"/>
        <v>#N/A</v>
      </c>
      <c r="K98" s="179"/>
      <c r="L98" s="179" t="e">
        <f t="shared" si="33"/>
        <v>#N/A</v>
      </c>
      <c r="M98" s="179" t="e">
        <f t="shared" si="34"/>
        <v>#N/A</v>
      </c>
      <c r="N98" s="182" t="e">
        <f t="shared" si="35"/>
        <v>#N/A</v>
      </c>
      <c r="O98" s="179"/>
      <c r="P98" s="179"/>
      <c r="Q98" s="179">
        <f t="shared" si="36"/>
        <v>0</v>
      </c>
      <c r="R98" s="179">
        <f t="shared" si="37"/>
        <v>1</v>
      </c>
      <c r="S98" s="183"/>
      <c r="T98" s="179"/>
      <c r="U98" s="179"/>
      <c r="V98" s="179"/>
      <c r="W98" s="179"/>
      <c r="X98" s="182" t="e">
        <f t="shared" si="38"/>
        <v>#N/A</v>
      </c>
      <c r="Y98" s="186" t="e">
        <f t="shared" si="39"/>
        <v>#N/A</v>
      </c>
      <c r="Z98" s="186" t="str">
        <f t="shared" si="40"/>
        <v>0</v>
      </c>
    </row>
    <row r="99" spans="1:26" s="186" customFormat="1">
      <c r="A99" s="179">
        <v>86</v>
      </c>
      <c r="B99" s="179"/>
      <c r="C99" s="179"/>
      <c r="D99" s="179">
        <f>'List - Nha'!C88</f>
        <v>0</v>
      </c>
      <c r="E99" s="180" t="e">
        <f t="shared" si="30"/>
        <v>#N/A</v>
      </c>
      <c r="F99" s="181" t="s">
        <v>1083</v>
      </c>
      <c r="G99" s="181" t="s">
        <v>1084</v>
      </c>
      <c r="H99" s="181" t="e">
        <f t="shared" si="31"/>
        <v>#N/A</v>
      </c>
      <c r="I99" s="181"/>
      <c r="J99" s="181" t="e">
        <f t="shared" si="32"/>
        <v>#N/A</v>
      </c>
      <c r="K99" s="179"/>
      <c r="L99" s="179" t="e">
        <f t="shared" si="33"/>
        <v>#N/A</v>
      </c>
      <c r="M99" s="179" t="e">
        <f t="shared" si="34"/>
        <v>#N/A</v>
      </c>
      <c r="N99" s="182" t="e">
        <f t="shared" si="35"/>
        <v>#N/A</v>
      </c>
      <c r="O99" s="179"/>
      <c r="P99" s="179"/>
      <c r="Q99" s="179">
        <f t="shared" si="36"/>
        <v>0</v>
      </c>
      <c r="R99" s="179">
        <f t="shared" si="37"/>
        <v>1</v>
      </c>
      <c r="S99" s="183"/>
      <c r="T99" s="179"/>
      <c r="U99" s="179"/>
      <c r="V99" s="179"/>
      <c r="W99" s="179"/>
      <c r="X99" s="182" t="e">
        <f t="shared" si="38"/>
        <v>#N/A</v>
      </c>
      <c r="Y99" s="186" t="e">
        <f t="shared" si="39"/>
        <v>#N/A</v>
      </c>
      <c r="Z99" s="186" t="str">
        <f t="shared" si="40"/>
        <v>0</v>
      </c>
    </row>
    <row r="100" spans="1:26" s="186" customFormat="1">
      <c r="A100" s="179">
        <v>87</v>
      </c>
      <c r="B100" s="179"/>
      <c r="C100" s="179"/>
      <c r="D100" s="179">
        <f>'List - Nha'!C89</f>
        <v>0</v>
      </c>
      <c r="E100" s="180" t="e">
        <f t="shared" si="30"/>
        <v>#N/A</v>
      </c>
      <c r="F100" s="181" t="s">
        <v>1083</v>
      </c>
      <c r="G100" s="181" t="s">
        <v>1084</v>
      </c>
      <c r="H100" s="181" t="e">
        <f t="shared" si="31"/>
        <v>#N/A</v>
      </c>
      <c r="I100" s="181"/>
      <c r="J100" s="181" t="e">
        <f t="shared" si="32"/>
        <v>#N/A</v>
      </c>
      <c r="K100" s="179"/>
      <c r="L100" s="179" t="e">
        <f t="shared" si="33"/>
        <v>#N/A</v>
      </c>
      <c r="M100" s="179" t="e">
        <f t="shared" si="34"/>
        <v>#N/A</v>
      </c>
      <c r="N100" s="182" t="e">
        <f t="shared" si="35"/>
        <v>#N/A</v>
      </c>
      <c r="O100" s="179"/>
      <c r="P100" s="179"/>
      <c r="Q100" s="179">
        <f t="shared" si="36"/>
        <v>0</v>
      </c>
      <c r="R100" s="179">
        <f t="shared" si="37"/>
        <v>1</v>
      </c>
      <c r="S100" s="183"/>
      <c r="T100" s="179"/>
      <c r="U100" s="179"/>
      <c r="V100" s="179"/>
      <c r="W100" s="179"/>
      <c r="X100" s="182" t="e">
        <f t="shared" si="38"/>
        <v>#N/A</v>
      </c>
      <c r="Y100" s="186" t="e">
        <f t="shared" si="39"/>
        <v>#N/A</v>
      </c>
      <c r="Z100" s="186" t="str">
        <f t="shared" si="40"/>
        <v>0</v>
      </c>
    </row>
    <row r="101" spans="1:26" s="186" customFormat="1">
      <c r="A101" s="179">
        <v>88</v>
      </c>
      <c r="B101" s="179"/>
      <c r="C101" s="179"/>
      <c r="D101" s="179">
        <f>'List - Nha'!C90</f>
        <v>0</v>
      </c>
      <c r="E101" s="180" t="e">
        <f t="shared" si="30"/>
        <v>#N/A</v>
      </c>
      <c r="F101" s="181" t="s">
        <v>1083</v>
      </c>
      <c r="G101" s="181" t="s">
        <v>1084</v>
      </c>
      <c r="H101" s="181" t="e">
        <f t="shared" si="31"/>
        <v>#N/A</v>
      </c>
      <c r="I101" s="181"/>
      <c r="J101" s="181" t="e">
        <f t="shared" si="32"/>
        <v>#N/A</v>
      </c>
      <c r="K101" s="179"/>
      <c r="L101" s="179" t="e">
        <f t="shared" si="33"/>
        <v>#N/A</v>
      </c>
      <c r="M101" s="179" t="e">
        <f t="shared" si="34"/>
        <v>#N/A</v>
      </c>
      <c r="N101" s="182" t="e">
        <f t="shared" si="35"/>
        <v>#N/A</v>
      </c>
      <c r="O101" s="179"/>
      <c r="P101" s="179"/>
      <c r="Q101" s="179">
        <f t="shared" si="36"/>
        <v>0</v>
      </c>
      <c r="R101" s="179">
        <f t="shared" si="37"/>
        <v>1</v>
      </c>
      <c r="S101" s="183"/>
      <c r="T101" s="179"/>
      <c r="U101" s="179"/>
      <c r="V101" s="179"/>
      <c r="W101" s="179"/>
      <c r="X101" s="182" t="e">
        <f t="shared" si="38"/>
        <v>#N/A</v>
      </c>
      <c r="Y101" s="186" t="e">
        <f t="shared" si="39"/>
        <v>#N/A</v>
      </c>
      <c r="Z101" s="186" t="str">
        <f t="shared" si="40"/>
        <v>0</v>
      </c>
    </row>
    <row r="102" spans="1:26" s="186" customFormat="1">
      <c r="A102" s="179">
        <v>89</v>
      </c>
      <c r="B102" s="179"/>
      <c r="C102" s="179"/>
      <c r="D102" s="179">
        <f>'List - Nha'!C91</f>
        <v>0</v>
      </c>
      <c r="E102" s="180" t="e">
        <f t="shared" si="30"/>
        <v>#N/A</v>
      </c>
      <c r="F102" s="181" t="s">
        <v>1083</v>
      </c>
      <c r="G102" s="181" t="s">
        <v>1084</v>
      </c>
      <c r="H102" s="181" t="e">
        <f t="shared" si="31"/>
        <v>#N/A</v>
      </c>
      <c r="I102" s="181"/>
      <c r="J102" s="181" t="e">
        <f t="shared" si="32"/>
        <v>#N/A</v>
      </c>
      <c r="K102" s="179"/>
      <c r="L102" s="179" t="e">
        <f t="shared" si="33"/>
        <v>#N/A</v>
      </c>
      <c r="M102" s="179" t="e">
        <f t="shared" si="34"/>
        <v>#N/A</v>
      </c>
      <c r="N102" s="182" t="e">
        <f t="shared" si="35"/>
        <v>#N/A</v>
      </c>
      <c r="O102" s="179"/>
      <c r="P102" s="179"/>
      <c r="Q102" s="179">
        <f t="shared" si="36"/>
        <v>0</v>
      </c>
      <c r="R102" s="179">
        <f t="shared" si="37"/>
        <v>1</v>
      </c>
      <c r="S102" s="183"/>
      <c r="T102" s="179"/>
      <c r="U102" s="179"/>
      <c r="V102" s="179"/>
      <c r="W102" s="179"/>
      <c r="X102" s="182" t="e">
        <f t="shared" si="38"/>
        <v>#N/A</v>
      </c>
      <c r="Y102" s="186" t="e">
        <f t="shared" si="39"/>
        <v>#N/A</v>
      </c>
      <c r="Z102" s="186" t="str">
        <f t="shared" si="40"/>
        <v>0</v>
      </c>
    </row>
    <row r="103" spans="1:26" s="186" customFormat="1">
      <c r="A103" s="179">
        <v>90</v>
      </c>
      <c r="B103" s="179"/>
      <c r="C103" s="179"/>
      <c r="D103" s="179">
        <f>'List - Nha'!C92</f>
        <v>0</v>
      </c>
      <c r="E103" s="180" t="e">
        <f t="shared" si="30"/>
        <v>#N/A</v>
      </c>
      <c r="F103" s="181" t="s">
        <v>1083</v>
      </c>
      <c r="G103" s="181" t="s">
        <v>1084</v>
      </c>
      <c r="H103" s="181" t="e">
        <f t="shared" si="31"/>
        <v>#N/A</v>
      </c>
      <c r="I103" s="181"/>
      <c r="J103" s="181" t="e">
        <f t="shared" si="32"/>
        <v>#N/A</v>
      </c>
      <c r="K103" s="179"/>
      <c r="L103" s="179" t="e">
        <f t="shared" si="33"/>
        <v>#N/A</v>
      </c>
      <c r="M103" s="179" t="e">
        <f t="shared" si="34"/>
        <v>#N/A</v>
      </c>
      <c r="N103" s="182" t="e">
        <f t="shared" si="35"/>
        <v>#N/A</v>
      </c>
      <c r="O103" s="179"/>
      <c r="P103" s="179"/>
      <c r="Q103" s="179">
        <f t="shared" si="36"/>
        <v>0</v>
      </c>
      <c r="R103" s="179">
        <f t="shared" si="37"/>
        <v>1</v>
      </c>
      <c r="S103" s="183"/>
      <c r="T103" s="179"/>
      <c r="U103" s="179"/>
      <c r="V103" s="179"/>
      <c r="W103" s="179"/>
      <c r="X103" s="182" t="e">
        <f t="shared" si="38"/>
        <v>#N/A</v>
      </c>
      <c r="Y103" s="186" t="e">
        <f t="shared" si="39"/>
        <v>#N/A</v>
      </c>
      <c r="Z103" s="186" t="str">
        <f t="shared" si="40"/>
        <v>0</v>
      </c>
    </row>
    <row r="104" spans="1:26" s="186" customFormat="1">
      <c r="A104" s="179">
        <v>91</v>
      </c>
      <c r="B104" s="179"/>
      <c r="C104" s="179"/>
      <c r="D104" s="179">
        <f>'List - Nha'!C93</f>
        <v>0</v>
      </c>
      <c r="E104" s="180" t="e">
        <f t="shared" si="30"/>
        <v>#N/A</v>
      </c>
      <c r="F104" s="181" t="s">
        <v>1083</v>
      </c>
      <c r="G104" s="181" t="s">
        <v>1084</v>
      </c>
      <c r="H104" s="181" t="e">
        <f t="shared" si="31"/>
        <v>#N/A</v>
      </c>
      <c r="I104" s="181"/>
      <c r="J104" s="181" t="e">
        <f t="shared" si="32"/>
        <v>#N/A</v>
      </c>
      <c r="K104" s="179"/>
      <c r="L104" s="179" t="e">
        <f t="shared" si="33"/>
        <v>#N/A</v>
      </c>
      <c r="M104" s="179" t="e">
        <f t="shared" si="34"/>
        <v>#N/A</v>
      </c>
      <c r="N104" s="182" t="e">
        <f t="shared" si="35"/>
        <v>#N/A</v>
      </c>
      <c r="O104" s="179"/>
      <c r="P104" s="179"/>
      <c r="Q104" s="179">
        <f t="shared" si="36"/>
        <v>0</v>
      </c>
      <c r="R104" s="179">
        <f t="shared" si="37"/>
        <v>1</v>
      </c>
      <c r="S104" s="183"/>
      <c r="T104" s="179"/>
      <c r="U104" s="179"/>
      <c r="V104" s="179"/>
      <c r="W104" s="179"/>
      <c r="X104" s="182" t="e">
        <f t="shared" si="38"/>
        <v>#N/A</v>
      </c>
      <c r="Y104" s="186" t="e">
        <f t="shared" si="39"/>
        <v>#N/A</v>
      </c>
      <c r="Z104" s="186" t="str">
        <f t="shared" si="40"/>
        <v>0</v>
      </c>
    </row>
    <row r="105" spans="1:26" s="186" customFormat="1">
      <c r="A105" s="179">
        <v>92</v>
      </c>
      <c r="B105" s="179"/>
      <c r="C105" s="179"/>
      <c r="D105" s="179">
        <f>'List - Nha'!C94</f>
        <v>0</v>
      </c>
      <c r="E105" s="180" t="e">
        <f t="shared" si="30"/>
        <v>#N/A</v>
      </c>
      <c r="F105" s="181" t="s">
        <v>1083</v>
      </c>
      <c r="G105" s="181" t="s">
        <v>1084</v>
      </c>
      <c r="H105" s="181" t="e">
        <f t="shared" si="31"/>
        <v>#N/A</v>
      </c>
      <c r="I105" s="181"/>
      <c r="J105" s="181" t="e">
        <f t="shared" si="32"/>
        <v>#N/A</v>
      </c>
      <c r="K105" s="179"/>
      <c r="L105" s="179" t="e">
        <f t="shared" si="33"/>
        <v>#N/A</v>
      </c>
      <c r="M105" s="179" t="e">
        <f t="shared" si="34"/>
        <v>#N/A</v>
      </c>
      <c r="N105" s="182" t="e">
        <f t="shared" si="35"/>
        <v>#N/A</v>
      </c>
      <c r="O105" s="179"/>
      <c r="P105" s="179"/>
      <c r="Q105" s="179">
        <f t="shared" si="36"/>
        <v>0</v>
      </c>
      <c r="R105" s="179">
        <f t="shared" si="37"/>
        <v>1</v>
      </c>
      <c r="S105" s="183"/>
      <c r="T105" s="179"/>
      <c r="U105" s="179"/>
      <c r="V105" s="179"/>
      <c r="W105" s="179"/>
      <c r="X105" s="182" t="e">
        <f t="shared" si="38"/>
        <v>#N/A</v>
      </c>
      <c r="Y105" s="186" t="e">
        <f t="shared" si="39"/>
        <v>#N/A</v>
      </c>
      <c r="Z105" s="186" t="str">
        <f t="shared" si="40"/>
        <v>0</v>
      </c>
    </row>
    <row r="106" spans="1:26" s="186" customFormat="1">
      <c r="A106" s="179">
        <v>93</v>
      </c>
      <c r="B106" s="179"/>
      <c r="C106" s="179"/>
      <c r="D106" s="179">
        <f>'List - Nha'!C95</f>
        <v>0</v>
      </c>
      <c r="E106" s="180" t="e">
        <f t="shared" si="30"/>
        <v>#N/A</v>
      </c>
      <c r="F106" s="181" t="s">
        <v>1083</v>
      </c>
      <c r="G106" s="181" t="s">
        <v>1084</v>
      </c>
      <c r="H106" s="181" t="e">
        <f t="shared" si="31"/>
        <v>#N/A</v>
      </c>
      <c r="I106" s="181"/>
      <c r="J106" s="181" t="e">
        <f t="shared" si="32"/>
        <v>#N/A</v>
      </c>
      <c r="K106" s="179"/>
      <c r="L106" s="179" t="e">
        <f t="shared" si="33"/>
        <v>#N/A</v>
      </c>
      <c r="M106" s="179" t="e">
        <f t="shared" si="34"/>
        <v>#N/A</v>
      </c>
      <c r="N106" s="182" t="e">
        <f t="shared" si="35"/>
        <v>#N/A</v>
      </c>
      <c r="O106" s="179"/>
      <c r="P106" s="179"/>
      <c r="Q106" s="179">
        <f t="shared" si="36"/>
        <v>0</v>
      </c>
      <c r="R106" s="179">
        <f t="shared" si="37"/>
        <v>1</v>
      </c>
      <c r="S106" s="183"/>
      <c r="T106" s="179"/>
      <c r="U106" s="179"/>
      <c r="V106" s="179"/>
      <c r="W106" s="179"/>
      <c r="X106" s="182" t="e">
        <f t="shared" si="38"/>
        <v>#N/A</v>
      </c>
      <c r="Y106" s="186" t="e">
        <f t="shared" si="39"/>
        <v>#N/A</v>
      </c>
      <c r="Z106" s="186" t="str">
        <f t="shared" si="40"/>
        <v>0</v>
      </c>
    </row>
    <row r="107" spans="1:26" s="186" customFormat="1">
      <c r="A107" s="179">
        <v>94</v>
      </c>
      <c r="B107" s="179"/>
      <c r="C107" s="179"/>
      <c r="D107" s="179">
        <f>'List - Nha'!C96</f>
        <v>0</v>
      </c>
      <c r="E107" s="180" t="e">
        <f t="shared" si="30"/>
        <v>#N/A</v>
      </c>
      <c r="F107" s="181" t="s">
        <v>1083</v>
      </c>
      <c r="G107" s="181" t="s">
        <v>1084</v>
      </c>
      <c r="H107" s="181" t="e">
        <f t="shared" si="31"/>
        <v>#N/A</v>
      </c>
      <c r="I107" s="181"/>
      <c r="J107" s="181" t="e">
        <f t="shared" si="32"/>
        <v>#N/A</v>
      </c>
      <c r="K107" s="179"/>
      <c r="L107" s="179" t="e">
        <f t="shared" si="33"/>
        <v>#N/A</v>
      </c>
      <c r="M107" s="179" t="e">
        <f t="shared" si="34"/>
        <v>#N/A</v>
      </c>
      <c r="N107" s="182" t="e">
        <f t="shared" si="35"/>
        <v>#N/A</v>
      </c>
      <c r="O107" s="179"/>
      <c r="P107" s="179"/>
      <c r="Q107" s="179">
        <f t="shared" si="36"/>
        <v>0</v>
      </c>
      <c r="R107" s="179">
        <f t="shared" si="37"/>
        <v>1</v>
      </c>
      <c r="S107" s="183"/>
      <c r="T107" s="179"/>
      <c r="U107" s="179"/>
      <c r="V107" s="179"/>
      <c r="W107" s="179"/>
      <c r="X107" s="182" t="e">
        <f t="shared" si="38"/>
        <v>#N/A</v>
      </c>
      <c r="Y107" s="186" t="e">
        <f t="shared" si="39"/>
        <v>#N/A</v>
      </c>
      <c r="Z107" s="186" t="str">
        <f t="shared" si="40"/>
        <v>0</v>
      </c>
    </row>
    <row r="108" spans="1:26" s="186" customFormat="1">
      <c r="A108" s="179">
        <v>95</v>
      </c>
      <c r="B108" s="179"/>
      <c r="C108" s="179"/>
      <c r="D108" s="179">
        <f>'List - Nha'!C97</f>
        <v>0</v>
      </c>
      <c r="E108" s="180" t="e">
        <f t="shared" si="30"/>
        <v>#N/A</v>
      </c>
      <c r="F108" s="181" t="s">
        <v>1083</v>
      </c>
      <c r="G108" s="181" t="s">
        <v>1084</v>
      </c>
      <c r="H108" s="181" t="e">
        <f t="shared" si="31"/>
        <v>#N/A</v>
      </c>
      <c r="I108" s="181"/>
      <c r="J108" s="181" t="e">
        <f t="shared" si="32"/>
        <v>#N/A</v>
      </c>
      <c r="K108" s="179"/>
      <c r="L108" s="179" t="e">
        <f t="shared" si="33"/>
        <v>#N/A</v>
      </c>
      <c r="M108" s="179" t="e">
        <f t="shared" si="34"/>
        <v>#N/A</v>
      </c>
      <c r="N108" s="182" t="e">
        <f t="shared" si="35"/>
        <v>#N/A</v>
      </c>
      <c r="O108" s="179"/>
      <c r="P108" s="179"/>
      <c r="Q108" s="179">
        <f t="shared" si="36"/>
        <v>0</v>
      </c>
      <c r="R108" s="179">
        <f t="shared" si="37"/>
        <v>1</v>
      </c>
      <c r="S108" s="183"/>
      <c r="T108" s="179"/>
      <c r="U108" s="179"/>
      <c r="V108" s="179"/>
      <c r="W108" s="179"/>
      <c r="X108" s="182" t="e">
        <f t="shared" si="38"/>
        <v>#N/A</v>
      </c>
      <c r="Y108" s="186" t="e">
        <f t="shared" si="39"/>
        <v>#N/A</v>
      </c>
      <c r="Z108" s="186" t="str">
        <f t="shared" si="40"/>
        <v>0</v>
      </c>
    </row>
    <row r="109" spans="1:26" s="186" customFormat="1">
      <c r="A109" s="179">
        <v>96</v>
      </c>
      <c r="B109" s="179"/>
      <c r="C109" s="179"/>
      <c r="D109" s="179">
        <f>'List - Nha'!C98</f>
        <v>0</v>
      </c>
      <c r="E109" s="180" t="e">
        <f t="shared" si="30"/>
        <v>#N/A</v>
      </c>
      <c r="F109" s="181" t="s">
        <v>1083</v>
      </c>
      <c r="G109" s="181" t="s">
        <v>1084</v>
      </c>
      <c r="H109" s="181" t="e">
        <f t="shared" si="31"/>
        <v>#N/A</v>
      </c>
      <c r="I109" s="181"/>
      <c r="J109" s="181" t="e">
        <f t="shared" si="32"/>
        <v>#N/A</v>
      </c>
      <c r="K109" s="179"/>
      <c r="L109" s="179" t="e">
        <f t="shared" si="33"/>
        <v>#N/A</v>
      </c>
      <c r="M109" s="179" t="e">
        <f t="shared" si="34"/>
        <v>#N/A</v>
      </c>
      <c r="N109" s="182" t="e">
        <f t="shared" si="35"/>
        <v>#N/A</v>
      </c>
      <c r="O109" s="179"/>
      <c r="P109" s="179"/>
      <c r="Q109" s="179">
        <f t="shared" si="36"/>
        <v>0</v>
      </c>
      <c r="R109" s="179">
        <f t="shared" si="37"/>
        <v>1</v>
      </c>
      <c r="S109" s="183"/>
      <c r="T109" s="179"/>
      <c r="U109" s="179"/>
      <c r="V109" s="179"/>
      <c r="W109" s="179"/>
      <c r="X109" s="182" t="e">
        <f t="shared" si="38"/>
        <v>#N/A</v>
      </c>
      <c r="Y109" s="186" t="e">
        <f t="shared" si="39"/>
        <v>#N/A</v>
      </c>
      <c r="Z109" s="186" t="str">
        <f t="shared" si="40"/>
        <v>0</v>
      </c>
    </row>
    <row r="110" spans="1:26" s="186" customFormat="1">
      <c r="A110" s="179">
        <v>97</v>
      </c>
      <c r="B110" s="179"/>
      <c r="C110" s="179"/>
      <c r="D110" s="179">
        <f>'List - Nha'!C99</f>
        <v>0</v>
      </c>
      <c r="E110" s="180" t="e">
        <f t="shared" si="30"/>
        <v>#N/A</v>
      </c>
      <c r="F110" s="181" t="s">
        <v>1083</v>
      </c>
      <c r="G110" s="181" t="s">
        <v>1084</v>
      </c>
      <c r="H110" s="181" t="e">
        <f t="shared" si="31"/>
        <v>#N/A</v>
      </c>
      <c r="I110" s="181"/>
      <c r="J110" s="181" t="e">
        <f t="shared" si="32"/>
        <v>#N/A</v>
      </c>
      <c r="K110" s="179"/>
      <c r="L110" s="179" t="e">
        <f t="shared" si="33"/>
        <v>#N/A</v>
      </c>
      <c r="M110" s="179" t="e">
        <f t="shared" si="34"/>
        <v>#N/A</v>
      </c>
      <c r="N110" s="182" t="e">
        <f t="shared" si="35"/>
        <v>#N/A</v>
      </c>
      <c r="O110" s="179"/>
      <c r="P110" s="179"/>
      <c r="Q110" s="179">
        <f t="shared" si="36"/>
        <v>0</v>
      </c>
      <c r="R110" s="179">
        <f t="shared" si="37"/>
        <v>1</v>
      </c>
      <c r="S110" s="183"/>
      <c r="T110" s="179"/>
      <c r="U110" s="179"/>
      <c r="V110" s="179"/>
      <c r="W110" s="179"/>
      <c r="X110" s="182" t="e">
        <f t="shared" si="38"/>
        <v>#N/A</v>
      </c>
      <c r="Y110" s="186" t="e">
        <f t="shared" si="39"/>
        <v>#N/A</v>
      </c>
      <c r="Z110" s="186" t="str">
        <f t="shared" si="40"/>
        <v>0</v>
      </c>
    </row>
    <row r="111" spans="1:26" s="186" customFormat="1">
      <c r="A111" s="179">
        <v>98</v>
      </c>
      <c r="B111" s="179"/>
      <c r="C111" s="179"/>
      <c r="D111" s="179">
        <f>'List - Nha'!C100</f>
        <v>0</v>
      </c>
      <c r="E111" s="180" t="e">
        <f t="shared" si="30"/>
        <v>#N/A</v>
      </c>
      <c r="F111" s="181" t="s">
        <v>1083</v>
      </c>
      <c r="G111" s="181" t="s">
        <v>1084</v>
      </c>
      <c r="H111" s="181" t="e">
        <f t="shared" si="31"/>
        <v>#N/A</v>
      </c>
      <c r="I111" s="181"/>
      <c r="J111" s="181" t="e">
        <f t="shared" si="32"/>
        <v>#N/A</v>
      </c>
      <c r="K111" s="179"/>
      <c r="L111" s="179" t="e">
        <f t="shared" si="33"/>
        <v>#N/A</v>
      </c>
      <c r="M111" s="179" t="e">
        <f t="shared" si="34"/>
        <v>#N/A</v>
      </c>
      <c r="N111" s="182" t="e">
        <f t="shared" si="35"/>
        <v>#N/A</v>
      </c>
      <c r="O111" s="179"/>
      <c r="P111" s="179"/>
      <c r="Q111" s="179">
        <f t="shared" si="36"/>
        <v>0</v>
      </c>
      <c r="R111" s="179">
        <f t="shared" si="37"/>
        <v>1</v>
      </c>
      <c r="S111" s="183"/>
      <c r="T111" s="179"/>
      <c r="U111" s="179"/>
      <c r="V111" s="179"/>
      <c r="W111" s="179"/>
      <c r="X111" s="182" t="e">
        <f t="shared" si="38"/>
        <v>#N/A</v>
      </c>
      <c r="Y111" s="186" t="e">
        <f t="shared" si="39"/>
        <v>#N/A</v>
      </c>
      <c r="Z111" s="186" t="str">
        <f t="shared" si="40"/>
        <v>0</v>
      </c>
    </row>
    <row r="112" spans="1:26" s="186" customFormat="1">
      <c r="A112" s="179">
        <v>99</v>
      </c>
      <c r="B112" s="179"/>
      <c r="C112" s="179"/>
      <c r="D112" s="179">
        <f>'List - Nha'!C101</f>
        <v>0</v>
      </c>
      <c r="E112" s="180" t="e">
        <f t="shared" si="30"/>
        <v>#N/A</v>
      </c>
      <c r="F112" s="181" t="s">
        <v>1083</v>
      </c>
      <c r="G112" s="181" t="s">
        <v>1084</v>
      </c>
      <c r="H112" s="181" t="e">
        <f t="shared" si="31"/>
        <v>#N/A</v>
      </c>
      <c r="I112" s="181"/>
      <c r="J112" s="181" t="e">
        <f t="shared" si="32"/>
        <v>#N/A</v>
      </c>
      <c r="K112" s="179"/>
      <c r="L112" s="179" t="e">
        <f t="shared" si="33"/>
        <v>#N/A</v>
      </c>
      <c r="M112" s="179" t="e">
        <f t="shared" si="34"/>
        <v>#N/A</v>
      </c>
      <c r="N112" s="182" t="e">
        <f t="shared" si="35"/>
        <v>#N/A</v>
      </c>
      <c r="O112" s="179"/>
      <c r="P112" s="179"/>
      <c r="Q112" s="179">
        <f t="shared" si="36"/>
        <v>0</v>
      </c>
      <c r="R112" s="179">
        <f t="shared" si="37"/>
        <v>1</v>
      </c>
      <c r="S112" s="183"/>
      <c r="T112" s="179"/>
      <c r="U112" s="179"/>
      <c r="V112" s="179"/>
      <c r="W112" s="179"/>
      <c r="X112" s="182" t="e">
        <f t="shared" si="38"/>
        <v>#N/A</v>
      </c>
      <c r="Y112" s="186" t="e">
        <f t="shared" si="39"/>
        <v>#N/A</v>
      </c>
      <c r="Z112" s="186" t="str">
        <f t="shared" si="40"/>
        <v>0</v>
      </c>
    </row>
    <row r="113" spans="1:29" s="186" customFormat="1">
      <c r="A113" s="179">
        <v>100</v>
      </c>
      <c r="B113" s="179"/>
      <c r="C113" s="179"/>
      <c r="D113" s="179">
        <f>'List - Nha'!C102</f>
        <v>0</v>
      </c>
      <c r="E113" s="180" t="e">
        <f t="shared" si="30"/>
        <v>#N/A</v>
      </c>
      <c r="F113" s="181" t="s">
        <v>1083</v>
      </c>
      <c r="G113" s="181" t="s">
        <v>1084</v>
      </c>
      <c r="H113" s="181" t="e">
        <f t="shared" si="31"/>
        <v>#N/A</v>
      </c>
      <c r="I113" s="181"/>
      <c r="J113" s="181" t="e">
        <f t="shared" si="32"/>
        <v>#N/A</v>
      </c>
      <c r="K113" s="179"/>
      <c r="L113" s="179" t="e">
        <f t="shared" si="33"/>
        <v>#N/A</v>
      </c>
      <c r="M113" s="179" t="e">
        <f t="shared" si="34"/>
        <v>#N/A</v>
      </c>
      <c r="N113" s="182" t="e">
        <f t="shared" si="35"/>
        <v>#N/A</v>
      </c>
      <c r="O113" s="179"/>
      <c r="P113" s="179"/>
      <c r="Q113" s="179">
        <f t="shared" si="36"/>
        <v>0</v>
      </c>
      <c r="R113" s="179">
        <f t="shared" si="37"/>
        <v>1</v>
      </c>
      <c r="S113" s="183"/>
      <c r="T113" s="179"/>
      <c r="U113" s="179"/>
      <c r="V113" s="179"/>
      <c r="W113" s="179"/>
      <c r="X113" s="182" t="e">
        <f t="shared" si="38"/>
        <v>#N/A</v>
      </c>
      <c r="Y113" s="186" t="e">
        <f t="shared" si="39"/>
        <v>#N/A</v>
      </c>
      <c r="Z113" s="186" t="str">
        <f t="shared" si="40"/>
        <v>0</v>
      </c>
    </row>
    <row r="114" spans="1:29" s="186" customFormat="1">
      <c r="A114" s="179">
        <v>101</v>
      </c>
      <c r="B114" s="179"/>
      <c r="C114" s="179"/>
      <c r="D114" s="179">
        <f>'List - Nha'!C103</f>
        <v>0</v>
      </c>
      <c r="E114" s="180" t="e">
        <f t="shared" ref="E114:E177" si="41">VLOOKUP(D114,TUANBV,2,0)</f>
        <v>#N/A</v>
      </c>
      <c r="F114" s="181" t="s">
        <v>1083</v>
      </c>
      <c r="G114" s="181" t="s">
        <v>1084</v>
      </c>
      <c r="H114" s="181" t="e">
        <f t="shared" ref="H114:H177" si="42">VLOOKUP(D114,TUANBV,5,0)&amp;"/PYC"</f>
        <v>#N/A</v>
      </c>
      <c r="I114" s="181"/>
      <c r="J114" s="181" t="e">
        <f t="shared" ref="J114:J177" si="43">VLOOKUP(D114,TUANBV,6,0)&amp;"/"&amp;Y114</f>
        <v>#N/A</v>
      </c>
      <c r="K114" s="179"/>
      <c r="L114" s="179" t="e">
        <f t="shared" ref="L114:L177" si="44">DAY(N114)</f>
        <v>#N/A</v>
      </c>
      <c r="M114" s="179" t="e">
        <f t="shared" ref="M114:M177" si="45">MONTH(N114)</f>
        <v>#N/A</v>
      </c>
      <c r="N114" s="182" t="e">
        <f t="shared" ref="N114:N177" si="46">VLOOKUP(D114,TUANBV,9,0)</f>
        <v>#N/A</v>
      </c>
      <c r="O114" s="179"/>
      <c r="P114" s="179"/>
      <c r="Q114" s="179">
        <f t="shared" ref="Q114:Q177" si="47">DAY(S114)</f>
        <v>0</v>
      </c>
      <c r="R114" s="179">
        <f t="shared" ref="R114:R177" si="48">MONTH(S114)</f>
        <v>1</v>
      </c>
      <c r="S114" s="183"/>
      <c r="T114" s="179"/>
      <c r="U114" s="179"/>
      <c r="V114" s="179"/>
      <c r="W114" s="179"/>
      <c r="X114" s="182" t="e">
        <f t="shared" ref="X114:X177" si="49">VLOOKUP(D114,TUANBV,14,0)</f>
        <v>#N/A</v>
      </c>
      <c r="Y114" s="186" t="e">
        <f t="shared" si="39"/>
        <v>#N/A</v>
      </c>
      <c r="Z114" s="186" t="str">
        <f t="shared" si="40"/>
        <v>0</v>
      </c>
    </row>
    <row r="115" spans="1:29" s="186" customFormat="1">
      <c r="A115" s="179">
        <v>102</v>
      </c>
      <c r="B115" s="179"/>
      <c r="C115" s="179"/>
      <c r="D115" s="179">
        <f>'List - Nha'!C104</f>
        <v>0</v>
      </c>
      <c r="E115" s="180" t="e">
        <f t="shared" si="41"/>
        <v>#N/A</v>
      </c>
      <c r="F115" s="181" t="s">
        <v>1083</v>
      </c>
      <c r="G115" s="181" t="s">
        <v>1084</v>
      </c>
      <c r="H115" s="181" t="e">
        <f t="shared" si="42"/>
        <v>#N/A</v>
      </c>
      <c r="I115" s="181"/>
      <c r="J115" s="181" t="e">
        <f t="shared" si="43"/>
        <v>#N/A</v>
      </c>
      <c r="K115" s="179"/>
      <c r="L115" s="179" t="e">
        <f t="shared" si="44"/>
        <v>#N/A</v>
      </c>
      <c r="M115" s="179" t="e">
        <f t="shared" si="45"/>
        <v>#N/A</v>
      </c>
      <c r="N115" s="182" t="e">
        <f t="shared" si="46"/>
        <v>#N/A</v>
      </c>
      <c r="O115" s="179"/>
      <c r="P115" s="179"/>
      <c r="Q115" s="179">
        <f t="shared" si="47"/>
        <v>0</v>
      </c>
      <c r="R115" s="179">
        <f t="shared" si="48"/>
        <v>1</v>
      </c>
      <c r="S115" s="183"/>
      <c r="T115" s="179"/>
      <c r="U115" s="179"/>
      <c r="V115" s="179"/>
      <c r="W115" s="179"/>
      <c r="X115" s="182" t="e">
        <f t="shared" si="49"/>
        <v>#N/A</v>
      </c>
      <c r="Y115" s="186" t="e">
        <f t="shared" si="39"/>
        <v>#N/A</v>
      </c>
      <c r="Z115" s="186" t="str">
        <f t="shared" si="40"/>
        <v>0</v>
      </c>
    </row>
    <row r="116" spans="1:29" s="186" customFormat="1">
      <c r="A116" s="179">
        <v>103</v>
      </c>
      <c r="B116" s="179"/>
      <c r="C116" s="179"/>
      <c r="D116" s="179">
        <f>'List - Nha'!C105</f>
        <v>0</v>
      </c>
      <c r="E116" s="180" t="e">
        <f t="shared" si="41"/>
        <v>#N/A</v>
      </c>
      <c r="F116" s="181" t="s">
        <v>1083</v>
      </c>
      <c r="G116" s="181" t="s">
        <v>1084</v>
      </c>
      <c r="H116" s="181" t="e">
        <f t="shared" si="42"/>
        <v>#N/A</v>
      </c>
      <c r="I116" s="181"/>
      <c r="J116" s="181" t="e">
        <f t="shared" si="43"/>
        <v>#N/A</v>
      </c>
      <c r="K116" s="179"/>
      <c r="L116" s="179" t="e">
        <f t="shared" si="44"/>
        <v>#N/A</v>
      </c>
      <c r="M116" s="179" t="e">
        <f t="shared" si="45"/>
        <v>#N/A</v>
      </c>
      <c r="N116" s="182" t="e">
        <f t="shared" si="46"/>
        <v>#N/A</v>
      </c>
      <c r="O116" s="179"/>
      <c r="P116" s="179"/>
      <c r="Q116" s="179">
        <f t="shared" si="47"/>
        <v>0</v>
      </c>
      <c r="R116" s="179">
        <f t="shared" si="48"/>
        <v>1</v>
      </c>
      <c r="S116" s="183"/>
      <c r="T116" s="179"/>
      <c r="U116" s="179"/>
      <c r="V116" s="179"/>
      <c r="W116" s="179"/>
      <c r="X116" s="182" t="e">
        <f t="shared" si="49"/>
        <v>#N/A</v>
      </c>
      <c r="Y116" s="186" t="e">
        <f t="shared" si="39"/>
        <v>#N/A</v>
      </c>
      <c r="Z116" s="186" t="str">
        <f t="shared" si="40"/>
        <v>0</v>
      </c>
    </row>
    <row r="117" spans="1:29" s="186" customFormat="1">
      <c r="A117" s="179">
        <v>104</v>
      </c>
      <c r="B117" s="179"/>
      <c r="C117" s="179"/>
      <c r="D117" s="179">
        <f>'List - Nha'!C106</f>
        <v>0</v>
      </c>
      <c r="E117" s="180" t="e">
        <f t="shared" si="41"/>
        <v>#N/A</v>
      </c>
      <c r="F117" s="181" t="s">
        <v>1083</v>
      </c>
      <c r="G117" s="181" t="s">
        <v>1084</v>
      </c>
      <c r="H117" s="181" t="e">
        <f t="shared" si="42"/>
        <v>#N/A</v>
      </c>
      <c r="I117" s="181"/>
      <c r="J117" s="181" t="e">
        <f t="shared" si="43"/>
        <v>#N/A</v>
      </c>
      <c r="K117" s="179"/>
      <c r="L117" s="179" t="e">
        <f t="shared" si="44"/>
        <v>#N/A</v>
      </c>
      <c r="M117" s="179" t="e">
        <f t="shared" si="45"/>
        <v>#N/A</v>
      </c>
      <c r="N117" s="182" t="e">
        <f t="shared" si="46"/>
        <v>#N/A</v>
      </c>
      <c r="O117" s="179"/>
      <c r="P117" s="179"/>
      <c r="Q117" s="179">
        <f t="shared" si="47"/>
        <v>0</v>
      </c>
      <c r="R117" s="179">
        <f t="shared" si="48"/>
        <v>1</v>
      </c>
      <c r="S117" s="183"/>
      <c r="T117" s="179"/>
      <c r="U117" s="179"/>
      <c r="V117" s="179"/>
      <c r="W117" s="179"/>
      <c r="X117" s="182" t="e">
        <f t="shared" si="49"/>
        <v>#N/A</v>
      </c>
      <c r="Y117" s="186" t="e">
        <f t="shared" si="39"/>
        <v>#N/A</v>
      </c>
      <c r="Z117" s="186" t="str">
        <f t="shared" si="40"/>
        <v>0</v>
      </c>
    </row>
    <row r="118" spans="1:29" s="186" customFormat="1">
      <c r="A118" s="179">
        <v>105</v>
      </c>
      <c r="B118" s="179"/>
      <c r="C118" s="179"/>
      <c r="D118" s="179">
        <f>'List - Nha'!C107</f>
        <v>0</v>
      </c>
      <c r="E118" s="180" t="e">
        <f t="shared" si="41"/>
        <v>#N/A</v>
      </c>
      <c r="F118" s="181" t="s">
        <v>1083</v>
      </c>
      <c r="G118" s="181" t="s">
        <v>1084</v>
      </c>
      <c r="H118" s="181" t="e">
        <f t="shared" si="42"/>
        <v>#N/A</v>
      </c>
      <c r="I118" s="181"/>
      <c r="J118" s="181" t="e">
        <f t="shared" si="43"/>
        <v>#N/A</v>
      </c>
      <c r="K118" s="179"/>
      <c r="L118" s="179" t="e">
        <f t="shared" si="44"/>
        <v>#N/A</v>
      </c>
      <c r="M118" s="179" t="e">
        <f t="shared" si="45"/>
        <v>#N/A</v>
      </c>
      <c r="N118" s="182" t="e">
        <f t="shared" si="46"/>
        <v>#N/A</v>
      </c>
      <c r="O118" s="179"/>
      <c r="P118" s="179"/>
      <c r="Q118" s="179">
        <f t="shared" si="47"/>
        <v>0</v>
      </c>
      <c r="R118" s="179">
        <f t="shared" si="48"/>
        <v>1</v>
      </c>
      <c r="S118" s="183"/>
      <c r="T118" s="179"/>
      <c r="U118" s="179"/>
      <c r="V118" s="179"/>
      <c r="W118" s="179"/>
      <c r="X118" s="182" t="e">
        <f t="shared" si="49"/>
        <v>#N/A</v>
      </c>
      <c r="Y118" s="186" t="e">
        <f t="shared" si="39"/>
        <v>#N/A</v>
      </c>
      <c r="Z118" s="186" t="str">
        <f t="shared" si="40"/>
        <v>0</v>
      </c>
    </row>
    <row r="119" spans="1:29" s="186" customFormat="1">
      <c r="A119" s="179">
        <v>106</v>
      </c>
      <c r="B119" s="179"/>
      <c r="C119" s="179"/>
      <c r="D119" s="179">
        <f>'List - Nha'!C108</f>
        <v>0</v>
      </c>
      <c r="E119" s="180" t="e">
        <f t="shared" si="41"/>
        <v>#N/A</v>
      </c>
      <c r="F119" s="181" t="s">
        <v>1083</v>
      </c>
      <c r="G119" s="181" t="s">
        <v>1084</v>
      </c>
      <c r="H119" s="181" t="e">
        <f t="shared" si="42"/>
        <v>#N/A</v>
      </c>
      <c r="I119" s="181"/>
      <c r="J119" s="181" t="e">
        <f t="shared" si="43"/>
        <v>#N/A</v>
      </c>
      <c r="K119" s="179"/>
      <c r="L119" s="179" t="e">
        <f t="shared" si="44"/>
        <v>#N/A</v>
      </c>
      <c r="M119" s="179" t="e">
        <f t="shared" si="45"/>
        <v>#N/A</v>
      </c>
      <c r="N119" s="182" t="e">
        <f t="shared" si="46"/>
        <v>#N/A</v>
      </c>
      <c r="O119" s="179"/>
      <c r="P119" s="179"/>
      <c r="Q119" s="179">
        <f t="shared" si="47"/>
        <v>0</v>
      </c>
      <c r="R119" s="179">
        <f t="shared" si="48"/>
        <v>1</v>
      </c>
      <c r="S119" s="183"/>
      <c r="T119" s="179"/>
      <c r="U119" s="179"/>
      <c r="V119" s="179"/>
      <c r="W119" s="179"/>
      <c r="X119" s="182" t="e">
        <f t="shared" si="49"/>
        <v>#N/A</v>
      </c>
      <c r="Y119" s="186" t="e">
        <f t="shared" si="39"/>
        <v>#N/A</v>
      </c>
      <c r="Z119" s="186" t="str">
        <f t="shared" si="40"/>
        <v>0</v>
      </c>
    </row>
    <row r="120" spans="1:29" s="186" customFormat="1">
      <c r="A120" s="179">
        <v>107</v>
      </c>
      <c r="B120" s="179"/>
      <c r="C120" s="179"/>
      <c r="D120" s="179">
        <f>'List - Nha'!C109</f>
        <v>0</v>
      </c>
      <c r="E120" s="180" t="e">
        <f t="shared" si="41"/>
        <v>#N/A</v>
      </c>
      <c r="F120" s="181" t="s">
        <v>1083</v>
      </c>
      <c r="G120" s="181" t="s">
        <v>1084</v>
      </c>
      <c r="H120" s="181" t="e">
        <f t="shared" si="42"/>
        <v>#N/A</v>
      </c>
      <c r="I120" s="181"/>
      <c r="J120" s="181" t="e">
        <f t="shared" si="43"/>
        <v>#N/A</v>
      </c>
      <c r="K120" s="179"/>
      <c r="L120" s="179" t="e">
        <f t="shared" si="44"/>
        <v>#N/A</v>
      </c>
      <c r="M120" s="179" t="e">
        <f t="shared" si="45"/>
        <v>#N/A</v>
      </c>
      <c r="N120" s="182" t="e">
        <f t="shared" si="46"/>
        <v>#N/A</v>
      </c>
      <c r="O120" s="179"/>
      <c r="P120" s="179"/>
      <c r="Q120" s="179">
        <f t="shared" si="47"/>
        <v>0</v>
      </c>
      <c r="R120" s="179">
        <f t="shared" si="48"/>
        <v>1</v>
      </c>
      <c r="S120" s="183"/>
      <c r="T120" s="179"/>
      <c r="U120" s="179"/>
      <c r="V120" s="179"/>
      <c r="W120" s="179"/>
      <c r="X120" s="182" t="e">
        <f t="shared" si="49"/>
        <v>#N/A</v>
      </c>
      <c r="Y120" s="186" t="e">
        <f t="shared" si="39"/>
        <v>#N/A</v>
      </c>
      <c r="Z120" s="186" t="str">
        <f t="shared" si="40"/>
        <v>0</v>
      </c>
    </row>
    <row r="121" spans="1:29" s="186" customFormat="1">
      <c r="A121" s="179">
        <v>108</v>
      </c>
      <c r="B121" s="179"/>
      <c r="C121" s="179"/>
      <c r="D121" s="179">
        <f>'List - Nha'!C110</f>
        <v>0</v>
      </c>
      <c r="E121" s="180" t="e">
        <f t="shared" si="41"/>
        <v>#N/A</v>
      </c>
      <c r="F121" s="181" t="s">
        <v>1083</v>
      </c>
      <c r="G121" s="181" t="s">
        <v>1084</v>
      </c>
      <c r="H121" s="181" t="e">
        <f t="shared" si="42"/>
        <v>#N/A</v>
      </c>
      <c r="I121" s="181"/>
      <c r="J121" s="181" t="e">
        <f t="shared" si="43"/>
        <v>#N/A</v>
      </c>
      <c r="K121" s="179"/>
      <c r="L121" s="179" t="e">
        <f t="shared" si="44"/>
        <v>#N/A</v>
      </c>
      <c r="M121" s="179" t="e">
        <f t="shared" si="45"/>
        <v>#N/A</v>
      </c>
      <c r="N121" s="182" t="e">
        <f t="shared" si="46"/>
        <v>#N/A</v>
      </c>
      <c r="O121" s="179"/>
      <c r="P121" s="179"/>
      <c r="Q121" s="179">
        <f t="shared" si="47"/>
        <v>0</v>
      </c>
      <c r="R121" s="179">
        <f t="shared" si="48"/>
        <v>1</v>
      </c>
      <c r="S121" s="183"/>
      <c r="T121" s="179"/>
      <c r="U121" s="179"/>
      <c r="V121" s="179"/>
      <c r="W121" s="179"/>
      <c r="X121" s="182" t="e">
        <f t="shared" si="49"/>
        <v>#N/A</v>
      </c>
      <c r="Y121" s="186" t="e">
        <f t="shared" si="39"/>
        <v>#N/A</v>
      </c>
      <c r="Z121" s="186" t="str">
        <f t="shared" si="40"/>
        <v>0</v>
      </c>
      <c r="AC121"/>
    </row>
    <row r="122" spans="1:29" s="186" customFormat="1">
      <c r="A122" s="179">
        <v>109</v>
      </c>
      <c r="B122" s="179"/>
      <c r="C122" s="179"/>
      <c r="D122" s="179">
        <f>'List - Nha'!C111</f>
        <v>0</v>
      </c>
      <c r="E122" s="180" t="e">
        <f t="shared" si="41"/>
        <v>#N/A</v>
      </c>
      <c r="F122" s="181" t="s">
        <v>1083</v>
      </c>
      <c r="G122" s="181" t="s">
        <v>1084</v>
      </c>
      <c r="H122" s="181" t="e">
        <f t="shared" si="42"/>
        <v>#N/A</v>
      </c>
      <c r="I122" s="181"/>
      <c r="J122" s="181" t="e">
        <f t="shared" si="43"/>
        <v>#N/A</v>
      </c>
      <c r="K122" s="179"/>
      <c r="L122" s="179" t="e">
        <f t="shared" si="44"/>
        <v>#N/A</v>
      </c>
      <c r="M122" s="179" t="e">
        <f t="shared" si="45"/>
        <v>#N/A</v>
      </c>
      <c r="N122" s="182" t="e">
        <f t="shared" si="46"/>
        <v>#N/A</v>
      </c>
      <c r="O122" s="179"/>
      <c r="P122" s="179"/>
      <c r="Q122" s="179">
        <f t="shared" si="47"/>
        <v>0</v>
      </c>
      <c r="R122" s="179">
        <f t="shared" si="48"/>
        <v>1</v>
      </c>
      <c r="S122" s="183"/>
      <c r="T122" s="179"/>
      <c r="U122" s="179"/>
      <c r="V122" s="179"/>
      <c r="W122" s="179"/>
      <c r="X122" s="182" t="e">
        <f t="shared" si="49"/>
        <v>#N/A</v>
      </c>
      <c r="Y122" s="186" t="e">
        <f t="shared" si="39"/>
        <v>#N/A</v>
      </c>
      <c r="Z122" s="186" t="str">
        <f t="shared" si="40"/>
        <v>0</v>
      </c>
      <c r="AC122"/>
    </row>
    <row r="123" spans="1:29" s="186" customFormat="1">
      <c r="A123" s="179">
        <v>110</v>
      </c>
      <c r="B123" s="179"/>
      <c r="C123" s="179"/>
      <c r="D123" s="179">
        <f>'List - Nha'!C112</f>
        <v>0</v>
      </c>
      <c r="E123" s="180" t="e">
        <f t="shared" si="41"/>
        <v>#N/A</v>
      </c>
      <c r="F123" s="181" t="s">
        <v>1083</v>
      </c>
      <c r="G123" s="181" t="s">
        <v>1084</v>
      </c>
      <c r="H123" s="181" t="e">
        <f t="shared" si="42"/>
        <v>#N/A</v>
      </c>
      <c r="I123" s="181"/>
      <c r="J123" s="181" t="e">
        <f t="shared" si="43"/>
        <v>#N/A</v>
      </c>
      <c r="K123" s="179"/>
      <c r="L123" s="179" t="e">
        <f t="shared" si="44"/>
        <v>#N/A</v>
      </c>
      <c r="M123" s="179" t="e">
        <f t="shared" si="45"/>
        <v>#N/A</v>
      </c>
      <c r="N123" s="182" t="e">
        <f t="shared" si="46"/>
        <v>#N/A</v>
      </c>
      <c r="O123" s="179"/>
      <c r="P123" s="179"/>
      <c r="Q123" s="179">
        <f t="shared" si="47"/>
        <v>0</v>
      </c>
      <c r="R123" s="179">
        <f t="shared" si="48"/>
        <v>1</v>
      </c>
      <c r="S123" s="183"/>
      <c r="T123" s="179"/>
      <c r="U123" s="179"/>
      <c r="V123" s="179"/>
      <c r="W123" s="179"/>
      <c r="X123" s="182" t="e">
        <f t="shared" si="49"/>
        <v>#N/A</v>
      </c>
      <c r="Y123" s="186" t="e">
        <f t="shared" si="39"/>
        <v>#N/A</v>
      </c>
      <c r="Z123" s="186" t="str">
        <f t="shared" si="40"/>
        <v>0</v>
      </c>
      <c r="AC123"/>
    </row>
    <row r="124" spans="1:29" s="186" customFormat="1">
      <c r="A124" s="179">
        <v>111</v>
      </c>
      <c r="B124" s="179"/>
      <c r="C124" s="179"/>
      <c r="D124" s="179">
        <f>'List - Nha'!C113</f>
        <v>0</v>
      </c>
      <c r="E124" s="180" t="e">
        <f t="shared" si="41"/>
        <v>#N/A</v>
      </c>
      <c r="F124" s="181" t="s">
        <v>1083</v>
      </c>
      <c r="G124" s="181" t="s">
        <v>1084</v>
      </c>
      <c r="H124" s="181" t="e">
        <f t="shared" si="42"/>
        <v>#N/A</v>
      </c>
      <c r="I124" s="181"/>
      <c r="J124" s="181" t="e">
        <f t="shared" si="43"/>
        <v>#N/A</v>
      </c>
      <c r="K124" s="179"/>
      <c r="L124" s="179" t="e">
        <f t="shared" si="44"/>
        <v>#N/A</v>
      </c>
      <c r="M124" s="179" t="e">
        <f t="shared" si="45"/>
        <v>#N/A</v>
      </c>
      <c r="N124" s="182" t="e">
        <f t="shared" si="46"/>
        <v>#N/A</v>
      </c>
      <c r="O124" s="179"/>
      <c r="P124" s="179"/>
      <c r="Q124" s="179">
        <f t="shared" si="47"/>
        <v>0</v>
      </c>
      <c r="R124" s="179">
        <f t="shared" si="48"/>
        <v>1</v>
      </c>
      <c r="S124" s="183"/>
      <c r="T124" s="179"/>
      <c r="U124" s="179"/>
      <c r="V124" s="179"/>
      <c r="W124" s="179"/>
      <c r="X124" s="182" t="e">
        <f t="shared" si="49"/>
        <v>#N/A</v>
      </c>
      <c r="Y124" s="186" t="e">
        <f t="shared" si="39"/>
        <v>#N/A</v>
      </c>
      <c r="Z124" s="186" t="str">
        <f t="shared" si="40"/>
        <v>0</v>
      </c>
      <c r="AC124"/>
    </row>
    <row r="125" spans="1:29" s="186" customFormat="1">
      <c r="A125" s="179">
        <v>112</v>
      </c>
      <c r="B125" s="179"/>
      <c r="C125" s="179"/>
      <c r="D125" s="179">
        <f>'List - Nha'!C114</f>
        <v>0</v>
      </c>
      <c r="E125" s="180" t="e">
        <f t="shared" si="41"/>
        <v>#N/A</v>
      </c>
      <c r="F125" s="181" t="s">
        <v>1083</v>
      </c>
      <c r="G125" s="181" t="s">
        <v>1084</v>
      </c>
      <c r="H125" s="181" t="e">
        <f t="shared" si="42"/>
        <v>#N/A</v>
      </c>
      <c r="I125" s="181"/>
      <c r="J125" s="181" t="e">
        <f t="shared" si="43"/>
        <v>#N/A</v>
      </c>
      <c r="K125" s="179"/>
      <c r="L125" s="179" t="e">
        <f t="shared" si="44"/>
        <v>#N/A</v>
      </c>
      <c r="M125" s="179" t="e">
        <f t="shared" si="45"/>
        <v>#N/A</v>
      </c>
      <c r="N125" s="182" t="e">
        <f t="shared" si="46"/>
        <v>#N/A</v>
      </c>
      <c r="O125" s="179"/>
      <c r="P125" s="179"/>
      <c r="Q125" s="179">
        <f t="shared" si="47"/>
        <v>0</v>
      </c>
      <c r="R125" s="179">
        <f t="shared" si="48"/>
        <v>1</v>
      </c>
      <c r="S125" s="183"/>
      <c r="T125" s="179"/>
      <c r="U125" s="179"/>
      <c r="V125" s="179"/>
      <c r="W125" s="179"/>
      <c r="X125" s="182" t="e">
        <f t="shared" si="49"/>
        <v>#N/A</v>
      </c>
      <c r="Y125" s="186" t="e">
        <f t="shared" si="39"/>
        <v>#N/A</v>
      </c>
      <c r="Z125" s="186" t="str">
        <f t="shared" si="40"/>
        <v>0</v>
      </c>
      <c r="AC125"/>
    </row>
    <row r="126" spans="1:29" s="186" customFormat="1">
      <c r="A126" s="179">
        <v>113</v>
      </c>
      <c r="B126" s="179"/>
      <c r="C126" s="179"/>
      <c r="D126" s="179">
        <f>'List - Nha'!C115</f>
        <v>0</v>
      </c>
      <c r="E126" s="180" t="e">
        <f t="shared" si="41"/>
        <v>#N/A</v>
      </c>
      <c r="F126" s="181" t="s">
        <v>1083</v>
      </c>
      <c r="G126" s="181" t="s">
        <v>1084</v>
      </c>
      <c r="H126" s="181" t="e">
        <f t="shared" si="42"/>
        <v>#N/A</v>
      </c>
      <c r="I126" s="181"/>
      <c r="J126" s="181" t="e">
        <f t="shared" si="43"/>
        <v>#N/A</v>
      </c>
      <c r="K126" s="179"/>
      <c r="L126" s="179" t="e">
        <f t="shared" si="44"/>
        <v>#N/A</v>
      </c>
      <c r="M126" s="179" t="e">
        <f t="shared" si="45"/>
        <v>#N/A</v>
      </c>
      <c r="N126" s="182" t="e">
        <f t="shared" si="46"/>
        <v>#N/A</v>
      </c>
      <c r="O126" s="179"/>
      <c r="P126" s="179"/>
      <c r="Q126" s="179">
        <f t="shared" si="47"/>
        <v>0</v>
      </c>
      <c r="R126" s="179">
        <f t="shared" si="48"/>
        <v>1</v>
      </c>
      <c r="S126" s="183"/>
      <c r="T126" s="179"/>
      <c r="U126" s="179"/>
      <c r="V126" s="179"/>
      <c r="W126" s="179"/>
      <c r="X126" s="182" t="e">
        <f t="shared" si="49"/>
        <v>#N/A</v>
      </c>
      <c r="Y126" s="186" t="e">
        <f t="shared" si="39"/>
        <v>#N/A</v>
      </c>
      <c r="Z126" s="186" t="str">
        <f t="shared" si="40"/>
        <v>0</v>
      </c>
      <c r="AC126"/>
    </row>
    <row r="127" spans="1:29" s="186" customFormat="1">
      <c r="A127" s="179">
        <v>114</v>
      </c>
      <c r="B127" s="179"/>
      <c r="C127" s="179"/>
      <c r="D127" s="179">
        <f>'List - Nha'!C116</f>
        <v>0</v>
      </c>
      <c r="E127" s="180" t="e">
        <f t="shared" si="41"/>
        <v>#N/A</v>
      </c>
      <c r="F127" s="181" t="s">
        <v>1083</v>
      </c>
      <c r="G127" s="181" t="s">
        <v>1084</v>
      </c>
      <c r="H127" s="181" t="e">
        <f t="shared" si="42"/>
        <v>#N/A</v>
      </c>
      <c r="I127" s="181"/>
      <c r="J127" s="181" t="e">
        <f t="shared" si="43"/>
        <v>#N/A</v>
      </c>
      <c r="K127" s="179"/>
      <c r="L127" s="179" t="e">
        <f t="shared" si="44"/>
        <v>#N/A</v>
      </c>
      <c r="M127" s="179" t="e">
        <f t="shared" si="45"/>
        <v>#N/A</v>
      </c>
      <c r="N127" s="182" t="e">
        <f t="shared" si="46"/>
        <v>#N/A</v>
      </c>
      <c r="O127" s="179"/>
      <c r="P127" s="179"/>
      <c r="Q127" s="179">
        <f t="shared" si="47"/>
        <v>0</v>
      </c>
      <c r="R127" s="179">
        <f t="shared" si="48"/>
        <v>1</v>
      </c>
      <c r="S127" s="183"/>
      <c r="T127" s="179"/>
      <c r="U127" s="179"/>
      <c r="V127" s="179"/>
      <c r="W127" s="179"/>
      <c r="X127" s="182" t="e">
        <f t="shared" si="49"/>
        <v>#N/A</v>
      </c>
      <c r="Y127" s="186" t="e">
        <f t="shared" si="39"/>
        <v>#N/A</v>
      </c>
      <c r="Z127" s="186" t="str">
        <f t="shared" si="40"/>
        <v>0</v>
      </c>
      <c r="AC127"/>
    </row>
    <row r="128" spans="1:29" s="186" customFormat="1">
      <c r="A128" s="179">
        <v>115</v>
      </c>
      <c r="B128" s="179"/>
      <c r="C128" s="179"/>
      <c r="D128" s="179">
        <f>'List - Nha'!C117</f>
        <v>0</v>
      </c>
      <c r="E128" s="180" t="e">
        <f t="shared" si="41"/>
        <v>#N/A</v>
      </c>
      <c r="F128" s="181" t="s">
        <v>1083</v>
      </c>
      <c r="G128" s="181" t="s">
        <v>1084</v>
      </c>
      <c r="H128" s="181" t="e">
        <f t="shared" si="42"/>
        <v>#N/A</v>
      </c>
      <c r="I128" s="181"/>
      <c r="J128" s="181" t="e">
        <f t="shared" si="43"/>
        <v>#N/A</v>
      </c>
      <c r="K128" s="179"/>
      <c r="L128" s="179" t="e">
        <f t="shared" si="44"/>
        <v>#N/A</v>
      </c>
      <c r="M128" s="179" t="e">
        <f t="shared" si="45"/>
        <v>#N/A</v>
      </c>
      <c r="N128" s="182" t="e">
        <f t="shared" si="46"/>
        <v>#N/A</v>
      </c>
      <c r="O128" s="179"/>
      <c r="P128" s="179"/>
      <c r="Q128" s="179">
        <f t="shared" si="47"/>
        <v>0</v>
      </c>
      <c r="R128" s="179">
        <f t="shared" si="48"/>
        <v>1</v>
      </c>
      <c r="S128" s="183"/>
      <c r="T128" s="179"/>
      <c r="U128" s="179"/>
      <c r="V128" s="179"/>
      <c r="W128" s="179"/>
      <c r="X128" s="182" t="e">
        <f t="shared" si="49"/>
        <v>#N/A</v>
      </c>
      <c r="Y128" s="186" t="e">
        <f t="shared" si="39"/>
        <v>#N/A</v>
      </c>
      <c r="Z128" s="186" t="str">
        <f t="shared" si="40"/>
        <v>0</v>
      </c>
      <c r="AC128"/>
    </row>
    <row r="129" spans="1:29" s="186" customFormat="1">
      <c r="A129" s="179">
        <v>116</v>
      </c>
      <c r="B129" s="179"/>
      <c r="C129" s="179"/>
      <c r="D129" s="179">
        <f>'List - Nha'!C118</f>
        <v>0</v>
      </c>
      <c r="E129" s="180" t="e">
        <f t="shared" si="41"/>
        <v>#N/A</v>
      </c>
      <c r="F129" s="181" t="s">
        <v>1083</v>
      </c>
      <c r="G129" s="181" t="s">
        <v>1084</v>
      </c>
      <c r="H129" s="181" t="e">
        <f t="shared" si="42"/>
        <v>#N/A</v>
      </c>
      <c r="I129" s="181"/>
      <c r="J129" s="181" t="e">
        <f t="shared" si="43"/>
        <v>#N/A</v>
      </c>
      <c r="K129" s="179"/>
      <c r="L129" s="179" t="e">
        <f t="shared" si="44"/>
        <v>#N/A</v>
      </c>
      <c r="M129" s="179" t="e">
        <f t="shared" si="45"/>
        <v>#N/A</v>
      </c>
      <c r="N129" s="182" t="e">
        <f t="shared" si="46"/>
        <v>#N/A</v>
      </c>
      <c r="O129" s="179"/>
      <c r="P129" s="179"/>
      <c r="Q129" s="179">
        <f t="shared" si="47"/>
        <v>0</v>
      </c>
      <c r="R129" s="179">
        <f t="shared" si="48"/>
        <v>1</v>
      </c>
      <c r="S129" s="183"/>
      <c r="T129" s="179"/>
      <c r="U129" s="179"/>
      <c r="V129" s="179"/>
      <c r="W129" s="179"/>
      <c r="X129" s="182" t="e">
        <f t="shared" si="49"/>
        <v>#N/A</v>
      </c>
      <c r="Y129" s="186" t="e">
        <f t="shared" si="39"/>
        <v>#N/A</v>
      </c>
      <c r="Z129" s="186" t="str">
        <f t="shared" si="40"/>
        <v>0</v>
      </c>
      <c r="AC129"/>
    </row>
    <row r="130" spans="1:29" s="186" customFormat="1">
      <c r="A130" s="179">
        <v>117</v>
      </c>
      <c r="B130" s="179"/>
      <c r="C130" s="179"/>
      <c r="D130" s="179">
        <f>'List - Nha'!C119</f>
        <v>0</v>
      </c>
      <c r="E130" s="180" t="e">
        <f t="shared" si="41"/>
        <v>#N/A</v>
      </c>
      <c r="F130" s="181" t="s">
        <v>1083</v>
      </c>
      <c r="G130" s="181" t="s">
        <v>1084</v>
      </c>
      <c r="H130" s="181" t="e">
        <f t="shared" si="42"/>
        <v>#N/A</v>
      </c>
      <c r="I130" s="181"/>
      <c r="J130" s="181" t="e">
        <f t="shared" si="43"/>
        <v>#N/A</v>
      </c>
      <c r="K130" s="179"/>
      <c r="L130" s="179" t="e">
        <f t="shared" si="44"/>
        <v>#N/A</v>
      </c>
      <c r="M130" s="179" t="e">
        <f t="shared" si="45"/>
        <v>#N/A</v>
      </c>
      <c r="N130" s="182" t="e">
        <f t="shared" si="46"/>
        <v>#N/A</v>
      </c>
      <c r="O130" s="179"/>
      <c r="P130" s="179"/>
      <c r="Q130" s="179">
        <f t="shared" si="47"/>
        <v>0</v>
      </c>
      <c r="R130" s="179">
        <f t="shared" si="48"/>
        <v>1</v>
      </c>
      <c r="S130" s="183"/>
      <c r="T130" s="179"/>
      <c r="U130" s="179"/>
      <c r="V130" s="179"/>
      <c r="W130" s="179"/>
      <c r="X130" s="182" t="e">
        <f t="shared" si="49"/>
        <v>#N/A</v>
      </c>
      <c r="Y130" s="186" t="e">
        <f t="shared" si="39"/>
        <v>#N/A</v>
      </c>
      <c r="Z130" s="186" t="str">
        <f t="shared" si="40"/>
        <v>0</v>
      </c>
      <c r="AC130"/>
    </row>
    <row r="131" spans="1:29" s="186" customFormat="1">
      <c r="A131" s="179">
        <v>118</v>
      </c>
      <c r="B131" s="179"/>
      <c r="C131" s="179"/>
      <c r="D131" s="179">
        <f>'List - Nha'!C120</f>
        <v>0</v>
      </c>
      <c r="E131" s="180" t="e">
        <f t="shared" si="41"/>
        <v>#N/A</v>
      </c>
      <c r="F131" s="181" t="s">
        <v>1083</v>
      </c>
      <c r="G131" s="181" t="s">
        <v>1084</v>
      </c>
      <c r="H131" s="181" t="e">
        <f t="shared" si="42"/>
        <v>#N/A</v>
      </c>
      <c r="I131" s="181"/>
      <c r="J131" s="181" t="e">
        <f t="shared" si="43"/>
        <v>#N/A</v>
      </c>
      <c r="K131" s="179"/>
      <c r="L131" s="179" t="e">
        <f t="shared" si="44"/>
        <v>#N/A</v>
      </c>
      <c r="M131" s="179" t="e">
        <f t="shared" si="45"/>
        <v>#N/A</v>
      </c>
      <c r="N131" s="182" t="e">
        <f t="shared" si="46"/>
        <v>#N/A</v>
      </c>
      <c r="O131" s="179"/>
      <c r="P131" s="179"/>
      <c r="Q131" s="179">
        <f t="shared" si="47"/>
        <v>0</v>
      </c>
      <c r="R131" s="179">
        <f t="shared" si="48"/>
        <v>1</v>
      </c>
      <c r="S131" s="183"/>
      <c r="T131" s="179"/>
      <c r="U131" s="179"/>
      <c r="V131" s="179"/>
      <c r="W131" s="179"/>
      <c r="X131" s="182" t="e">
        <f t="shared" si="49"/>
        <v>#N/A</v>
      </c>
      <c r="Y131" s="186" t="e">
        <f t="shared" si="39"/>
        <v>#N/A</v>
      </c>
      <c r="Z131" s="186" t="str">
        <f t="shared" si="40"/>
        <v>0</v>
      </c>
      <c r="AC131"/>
    </row>
    <row r="132" spans="1:29" s="186" customFormat="1">
      <c r="A132" s="179">
        <v>119</v>
      </c>
      <c r="B132" s="179"/>
      <c r="C132" s="179"/>
      <c r="D132" s="179">
        <f>'List - Nha'!C121</f>
        <v>0</v>
      </c>
      <c r="E132" s="180" t="e">
        <f t="shared" si="41"/>
        <v>#N/A</v>
      </c>
      <c r="F132" s="181" t="s">
        <v>1083</v>
      </c>
      <c r="G132" s="181" t="s">
        <v>1084</v>
      </c>
      <c r="H132" s="181" t="e">
        <f t="shared" si="42"/>
        <v>#N/A</v>
      </c>
      <c r="I132" s="181"/>
      <c r="J132" s="181" t="e">
        <f t="shared" si="43"/>
        <v>#N/A</v>
      </c>
      <c r="K132" s="179"/>
      <c r="L132" s="179" t="e">
        <f t="shared" si="44"/>
        <v>#N/A</v>
      </c>
      <c r="M132" s="179" t="e">
        <f t="shared" si="45"/>
        <v>#N/A</v>
      </c>
      <c r="N132" s="182" t="e">
        <f t="shared" si="46"/>
        <v>#N/A</v>
      </c>
      <c r="O132" s="179"/>
      <c r="P132" s="179"/>
      <c r="Q132" s="179">
        <f t="shared" si="47"/>
        <v>0</v>
      </c>
      <c r="R132" s="179">
        <f t="shared" si="48"/>
        <v>1</v>
      </c>
      <c r="S132" s="183"/>
      <c r="T132" s="179"/>
      <c r="U132" s="179"/>
      <c r="V132" s="179"/>
      <c r="W132" s="179"/>
      <c r="X132" s="182" t="e">
        <f t="shared" si="49"/>
        <v>#N/A</v>
      </c>
      <c r="Y132" s="186" t="e">
        <f t="shared" si="39"/>
        <v>#N/A</v>
      </c>
      <c r="Z132" s="186" t="str">
        <f t="shared" si="40"/>
        <v>0</v>
      </c>
      <c r="AC132"/>
    </row>
    <row r="133" spans="1:29" s="186" customFormat="1">
      <c r="A133" s="179">
        <v>120</v>
      </c>
      <c r="B133" s="179"/>
      <c r="C133" s="179"/>
      <c r="D133" s="179">
        <f>'List - Nha'!C122</f>
        <v>0</v>
      </c>
      <c r="E133" s="180" t="e">
        <f t="shared" si="41"/>
        <v>#N/A</v>
      </c>
      <c r="F133" s="181" t="s">
        <v>1083</v>
      </c>
      <c r="G133" s="181" t="s">
        <v>1084</v>
      </c>
      <c r="H133" s="181" t="e">
        <f t="shared" si="42"/>
        <v>#N/A</v>
      </c>
      <c r="I133" s="181"/>
      <c r="J133" s="181" t="e">
        <f t="shared" si="43"/>
        <v>#N/A</v>
      </c>
      <c r="K133" s="179"/>
      <c r="L133" s="179" t="e">
        <f t="shared" si="44"/>
        <v>#N/A</v>
      </c>
      <c r="M133" s="179" t="e">
        <f t="shared" si="45"/>
        <v>#N/A</v>
      </c>
      <c r="N133" s="182" t="e">
        <f t="shared" si="46"/>
        <v>#N/A</v>
      </c>
      <c r="O133" s="179"/>
      <c r="P133" s="179"/>
      <c r="Q133" s="179">
        <f t="shared" si="47"/>
        <v>0</v>
      </c>
      <c r="R133" s="179">
        <f t="shared" si="48"/>
        <v>1</v>
      </c>
      <c r="S133" s="183"/>
      <c r="T133" s="179"/>
      <c r="U133" s="179"/>
      <c r="V133" s="179"/>
      <c r="W133" s="179"/>
      <c r="X133" s="182" t="e">
        <f t="shared" si="49"/>
        <v>#N/A</v>
      </c>
      <c r="Y133" s="186" t="e">
        <f t="shared" si="39"/>
        <v>#N/A</v>
      </c>
      <c r="Z133" s="186" t="str">
        <f t="shared" si="40"/>
        <v>0</v>
      </c>
      <c r="AC133"/>
    </row>
    <row r="134" spans="1:29" s="186" customFormat="1">
      <c r="A134" s="179">
        <v>121</v>
      </c>
      <c r="B134" s="179"/>
      <c r="C134" s="179"/>
      <c r="D134" s="179">
        <f>'List - Nha'!C123</f>
        <v>0</v>
      </c>
      <c r="E134" s="180" t="e">
        <f t="shared" si="41"/>
        <v>#N/A</v>
      </c>
      <c r="F134" s="181" t="s">
        <v>1083</v>
      </c>
      <c r="G134" s="181" t="s">
        <v>1084</v>
      </c>
      <c r="H134" s="181" t="e">
        <f t="shared" si="42"/>
        <v>#N/A</v>
      </c>
      <c r="I134" s="181"/>
      <c r="J134" s="181" t="e">
        <f t="shared" si="43"/>
        <v>#N/A</v>
      </c>
      <c r="K134" s="179"/>
      <c r="L134" s="179" t="e">
        <f t="shared" si="44"/>
        <v>#N/A</v>
      </c>
      <c r="M134" s="179" t="e">
        <f t="shared" si="45"/>
        <v>#N/A</v>
      </c>
      <c r="N134" s="182" t="e">
        <f t="shared" si="46"/>
        <v>#N/A</v>
      </c>
      <c r="O134" s="179"/>
      <c r="P134" s="179"/>
      <c r="Q134" s="179">
        <f t="shared" si="47"/>
        <v>0</v>
      </c>
      <c r="R134" s="179">
        <f t="shared" si="48"/>
        <v>1</v>
      </c>
      <c r="S134" s="183"/>
      <c r="T134" s="179"/>
      <c r="U134" s="179"/>
      <c r="V134" s="179"/>
      <c r="W134" s="179"/>
      <c r="X134" s="182" t="e">
        <f t="shared" si="49"/>
        <v>#N/A</v>
      </c>
      <c r="Y134" s="186" t="e">
        <f t="shared" si="39"/>
        <v>#N/A</v>
      </c>
      <c r="Z134" s="186" t="str">
        <f t="shared" si="40"/>
        <v>0</v>
      </c>
      <c r="AC134"/>
    </row>
    <row r="135" spans="1:29" s="186" customFormat="1">
      <c r="A135" s="179">
        <v>122</v>
      </c>
      <c r="B135" s="179"/>
      <c r="C135" s="179"/>
      <c r="D135" s="179">
        <f>'List - Nha'!C124</f>
        <v>0</v>
      </c>
      <c r="E135" s="180" t="e">
        <f t="shared" si="41"/>
        <v>#N/A</v>
      </c>
      <c r="F135" s="181" t="s">
        <v>1083</v>
      </c>
      <c r="G135" s="181" t="s">
        <v>1084</v>
      </c>
      <c r="H135" s="181" t="e">
        <f t="shared" si="42"/>
        <v>#N/A</v>
      </c>
      <c r="I135" s="181"/>
      <c r="J135" s="181" t="e">
        <f t="shared" si="43"/>
        <v>#N/A</v>
      </c>
      <c r="K135" s="179"/>
      <c r="L135" s="179" t="e">
        <f t="shared" si="44"/>
        <v>#N/A</v>
      </c>
      <c r="M135" s="179" t="e">
        <f t="shared" si="45"/>
        <v>#N/A</v>
      </c>
      <c r="N135" s="182" t="e">
        <f t="shared" si="46"/>
        <v>#N/A</v>
      </c>
      <c r="O135" s="179"/>
      <c r="P135" s="179"/>
      <c r="Q135" s="179">
        <f t="shared" si="47"/>
        <v>0</v>
      </c>
      <c r="R135" s="179">
        <f t="shared" si="48"/>
        <v>1</v>
      </c>
      <c r="S135" s="183"/>
      <c r="T135" s="179"/>
      <c r="U135" s="179"/>
      <c r="V135" s="179"/>
      <c r="W135" s="179"/>
      <c r="X135" s="182" t="e">
        <f t="shared" si="49"/>
        <v>#N/A</v>
      </c>
      <c r="Y135" s="186" t="e">
        <f t="shared" si="39"/>
        <v>#N/A</v>
      </c>
      <c r="Z135" s="186" t="str">
        <f t="shared" si="40"/>
        <v>0</v>
      </c>
      <c r="AC135"/>
    </row>
    <row r="136" spans="1:29" s="186" customFormat="1">
      <c r="A136" s="179">
        <v>123</v>
      </c>
      <c r="B136" s="179"/>
      <c r="C136" s="179"/>
      <c r="D136" s="179">
        <f>'List - Nha'!C125</f>
        <v>0</v>
      </c>
      <c r="E136" s="180" t="e">
        <f t="shared" si="41"/>
        <v>#N/A</v>
      </c>
      <c r="F136" s="181" t="s">
        <v>1083</v>
      </c>
      <c r="G136" s="181" t="s">
        <v>1084</v>
      </c>
      <c r="H136" s="181" t="e">
        <f t="shared" si="42"/>
        <v>#N/A</v>
      </c>
      <c r="I136" s="181"/>
      <c r="J136" s="181" t="e">
        <f t="shared" si="43"/>
        <v>#N/A</v>
      </c>
      <c r="K136" s="179"/>
      <c r="L136" s="179" t="e">
        <f t="shared" si="44"/>
        <v>#N/A</v>
      </c>
      <c r="M136" s="179" t="e">
        <f t="shared" si="45"/>
        <v>#N/A</v>
      </c>
      <c r="N136" s="182" t="e">
        <f t="shared" si="46"/>
        <v>#N/A</v>
      </c>
      <c r="O136" s="179"/>
      <c r="P136" s="179"/>
      <c r="Q136" s="179">
        <f t="shared" si="47"/>
        <v>0</v>
      </c>
      <c r="R136" s="179">
        <f t="shared" si="48"/>
        <v>1</v>
      </c>
      <c r="S136" s="183"/>
      <c r="T136" s="179"/>
      <c r="U136" s="179"/>
      <c r="V136" s="179"/>
      <c r="W136" s="179"/>
      <c r="X136" s="182" t="e">
        <f t="shared" si="49"/>
        <v>#N/A</v>
      </c>
      <c r="Y136" s="186" t="e">
        <f t="shared" si="39"/>
        <v>#N/A</v>
      </c>
      <c r="Z136" s="186" t="str">
        <f t="shared" si="40"/>
        <v>0</v>
      </c>
    </row>
    <row r="137" spans="1:29" s="186" customFormat="1">
      <c r="A137" s="179">
        <v>124</v>
      </c>
      <c r="B137" s="179"/>
      <c r="C137" s="179"/>
      <c r="D137" s="179">
        <f>'List - Nha'!C126</f>
        <v>0</v>
      </c>
      <c r="E137" s="180" t="e">
        <f t="shared" si="41"/>
        <v>#N/A</v>
      </c>
      <c r="F137" s="181" t="s">
        <v>1083</v>
      </c>
      <c r="G137" s="181" t="s">
        <v>1084</v>
      </c>
      <c r="H137" s="181" t="e">
        <f t="shared" si="42"/>
        <v>#N/A</v>
      </c>
      <c r="I137" s="181"/>
      <c r="J137" s="181" t="e">
        <f t="shared" si="43"/>
        <v>#N/A</v>
      </c>
      <c r="K137" s="179"/>
      <c r="L137" s="179" t="e">
        <f t="shared" si="44"/>
        <v>#N/A</v>
      </c>
      <c r="M137" s="179" t="e">
        <f t="shared" si="45"/>
        <v>#N/A</v>
      </c>
      <c r="N137" s="182" t="e">
        <f t="shared" si="46"/>
        <v>#N/A</v>
      </c>
      <c r="O137" s="179"/>
      <c r="P137" s="179"/>
      <c r="Q137" s="179">
        <f t="shared" si="47"/>
        <v>0</v>
      </c>
      <c r="R137" s="179">
        <f t="shared" si="48"/>
        <v>1</v>
      </c>
      <c r="S137" s="183"/>
      <c r="T137" s="179"/>
      <c r="U137" s="179"/>
      <c r="V137" s="179"/>
      <c r="W137" s="179"/>
      <c r="X137" s="182" t="e">
        <f t="shared" si="49"/>
        <v>#N/A</v>
      </c>
      <c r="Y137" s="186" t="e">
        <f t="shared" si="39"/>
        <v>#N/A</v>
      </c>
      <c r="Z137" s="186" t="str">
        <f t="shared" si="40"/>
        <v>0</v>
      </c>
    </row>
    <row r="138" spans="1:29" s="186" customFormat="1">
      <c r="A138" s="179">
        <v>125</v>
      </c>
      <c r="B138" s="179"/>
      <c r="C138" s="179"/>
      <c r="D138" s="179">
        <f>'List - Nha'!C127</f>
        <v>0</v>
      </c>
      <c r="E138" s="180" t="e">
        <f t="shared" si="41"/>
        <v>#N/A</v>
      </c>
      <c r="F138" s="181" t="s">
        <v>1083</v>
      </c>
      <c r="G138" s="181" t="s">
        <v>1084</v>
      </c>
      <c r="H138" s="181" t="e">
        <f t="shared" si="42"/>
        <v>#N/A</v>
      </c>
      <c r="I138" s="181"/>
      <c r="J138" s="181" t="e">
        <f t="shared" si="43"/>
        <v>#N/A</v>
      </c>
      <c r="K138" s="179"/>
      <c r="L138" s="179" t="e">
        <f t="shared" si="44"/>
        <v>#N/A</v>
      </c>
      <c r="M138" s="179" t="e">
        <f t="shared" si="45"/>
        <v>#N/A</v>
      </c>
      <c r="N138" s="182" t="e">
        <f t="shared" si="46"/>
        <v>#N/A</v>
      </c>
      <c r="O138" s="179"/>
      <c r="P138" s="179"/>
      <c r="Q138" s="179">
        <f t="shared" si="47"/>
        <v>0</v>
      </c>
      <c r="R138" s="179">
        <f t="shared" si="48"/>
        <v>1</v>
      </c>
      <c r="S138" s="183"/>
      <c r="T138" s="179"/>
      <c r="U138" s="179"/>
      <c r="V138" s="179"/>
      <c r="W138" s="179"/>
      <c r="X138" s="182" t="e">
        <f t="shared" si="49"/>
        <v>#N/A</v>
      </c>
      <c r="Z138" s="186" t="str">
        <f t="shared" si="40"/>
        <v>0</v>
      </c>
    </row>
    <row r="139" spans="1:29" s="186" customFormat="1">
      <c r="A139" s="179">
        <v>126</v>
      </c>
      <c r="B139" s="179"/>
      <c r="C139" s="179"/>
      <c r="D139" s="179"/>
      <c r="E139" s="180" t="e">
        <f t="shared" si="41"/>
        <v>#N/A</v>
      </c>
      <c r="F139" s="181" t="s">
        <v>1083</v>
      </c>
      <c r="G139" s="181" t="s">
        <v>1084</v>
      </c>
      <c r="H139" s="181" t="e">
        <f t="shared" si="42"/>
        <v>#N/A</v>
      </c>
      <c r="I139" s="181"/>
      <c r="J139" s="181" t="e">
        <f t="shared" si="43"/>
        <v>#N/A</v>
      </c>
      <c r="K139" s="179"/>
      <c r="L139" s="179" t="e">
        <f t="shared" si="44"/>
        <v>#N/A</v>
      </c>
      <c r="M139" s="179" t="e">
        <f t="shared" si="45"/>
        <v>#N/A</v>
      </c>
      <c r="N139" s="182" t="e">
        <f t="shared" si="46"/>
        <v>#N/A</v>
      </c>
      <c r="O139" s="179"/>
      <c r="P139" s="179"/>
      <c r="Q139" s="179">
        <f t="shared" si="47"/>
        <v>0</v>
      </c>
      <c r="R139" s="179">
        <f t="shared" si="48"/>
        <v>1</v>
      </c>
      <c r="S139" s="183"/>
      <c r="T139" s="179"/>
      <c r="U139" s="179"/>
      <c r="V139" s="179"/>
      <c r="W139" s="179"/>
      <c r="X139" s="182" t="e">
        <f t="shared" si="49"/>
        <v>#N/A</v>
      </c>
      <c r="Z139" s="186" t="str">
        <f t="shared" si="40"/>
        <v/>
      </c>
    </row>
    <row r="140" spans="1:29" s="186" customFormat="1">
      <c r="A140" s="179">
        <v>127</v>
      </c>
      <c r="B140" s="179"/>
      <c r="C140" s="179"/>
      <c r="D140" s="179"/>
      <c r="E140" s="180" t="e">
        <f t="shared" si="41"/>
        <v>#N/A</v>
      </c>
      <c r="F140" s="181" t="s">
        <v>1083</v>
      </c>
      <c r="G140" s="181" t="s">
        <v>1084</v>
      </c>
      <c r="H140" s="181" t="e">
        <f t="shared" si="42"/>
        <v>#N/A</v>
      </c>
      <c r="I140" s="181"/>
      <c r="J140" s="181" t="e">
        <f t="shared" si="43"/>
        <v>#N/A</v>
      </c>
      <c r="K140" s="179"/>
      <c r="L140" s="179" t="e">
        <f t="shared" si="44"/>
        <v>#N/A</v>
      </c>
      <c r="M140" s="179" t="e">
        <f t="shared" si="45"/>
        <v>#N/A</v>
      </c>
      <c r="N140" s="182" t="e">
        <f t="shared" si="46"/>
        <v>#N/A</v>
      </c>
      <c r="O140" s="179"/>
      <c r="P140" s="179"/>
      <c r="Q140" s="179">
        <f t="shared" si="47"/>
        <v>0</v>
      </c>
      <c r="R140" s="179">
        <f t="shared" si="48"/>
        <v>1</v>
      </c>
      <c r="S140" s="183"/>
      <c r="T140" s="179"/>
      <c r="U140" s="179"/>
      <c r="V140" s="179"/>
      <c r="W140" s="179"/>
      <c r="X140" s="182" t="e">
        <f t="shared" si="49"/>
        <v>#N/A</v>
      </c>
      <c r="Z140" s="186" t="str">
        <f t="shared" si="40"/>
        <v/>
      </c>
    </row>
    <row r="141" spans="1:29" s="186" customFormat="1">
      <c r="A141" s="179">
        <v>128</v>
      </c>
      <c r="B141" s="179"/>
      <c r="C141" s="179"/>
      <c r="D141" s="179"/>
      <c r="E141" s="180" t="e">
        <f t="shared" si="41"/>
        <v>#N/A</v>
      </c>
      <c r="F141" s="181" t="s">
        <v>1083</v>
      </c>
      <c r="G141" s="181" t="s">
        <v>1084</v>
      </c>
      <c r="H141" s="181" t="e">
        <f t="shared" si="42"/>
        <v>#N/A</v>
      </c>
      <c r="I141" s="181"/>
      <c r="J141" s="181" t="e">
        <f t="shared" si="43"/>
        <v>#N/A</v>
      </c>
      <c r="K141" s="179"/>
      <c r="L141" s="179" t="e">
        <f t="shared" si="44"/>
        <v>#N/A</v>
      </c>
      <c r="M141" s="179" t="e">
        <f t="shared" si="45"/>
        <v>#N/A</v>
      </c>
      <c r="N141" s="182" t="e">
        <f t="shared" si="46"/>
        <v>#N/A</v>
      </c>
      <c r="O141" s="179"/>
      <c r="P141" s="179"/>
      <c r="Q141" s="179">
        <f t="shared" si="47"/>
        <v>0</v>
      </c>
      <c r="R141" s="179">
        <f t="shared" si="48"/>
        <v>1</v>
      </c>
      <c r="S141" s="183"/>
      <c r="T141" s="179"/>
      <c r="U141" s="179"/>
      <c r="V141" s="179"/>
      <c r="W141" s="179"/>
      <c r="X141" s="182" t="e">
        <f t="shared" si="49"/>
        <v>#N/A</v>
      </c>
      <c r="Z141" s="186" t="str">
        <f t="shared" si="40"/>
        <v/>
      </c>
    </row>
    <row r="142" spans="1:29" s="186" customFormat="1">
      <c r="A142" s="179">
        <v>129</v>
      </c>
      <c r="B142" s="179"/>
      <c r="C142" s="179"/>
      <c r="D142" s="179"/>
      <c r="E142" s="180" t="e">
        <f t="shared" si="41"/>
        <v>#N/A</v>
      </c>
      <c r="F142" s="181" t="s">
        <v>1083</v>
      </c>
      <c r="G142" s="181" t="s">
        <v>1084</v>
      </c>
      <c r="H142" s="181" t="e">
        <f t="shared" si="42"/>
        <v>#N/A</v>
      </c>
      <c r="I142" s="181"/>
      <c r="J142" s="181" t="e">
        <f t="shared" si="43"/>
        <v>#N/A</v>
      </c>
      <c r="K142" s="179"/>
      <c r="L142" s="179" t="e">
        <f t="shared" si="44"/>
        <v>#N/A</v>
      </c>
      <c r="M142" s="179" t="e">
        <f t="shared" si="45"/>
        <v>#N/A</v>
      </c>
      <c r="N142" s="182" t="e">
        <f t="shared" si="46"/>
        <v>#N/A</v>
      </c>
      <c r="O142" s="179"/>
      <c r="P142" s="179"/>
      <c r="Q142" s="179">
        <f t="shared" si="47"/>
        <v>0</v>
      </c>
      <c r="R142" s="179">
        <f t="shared" si="48"/>
        <v>1</v>
      </c>
      <c r="S142" s="183"/>
      <c r="T142" s="179"/>
      <c r="U142" s="179"/>
      <c r="V142" s="179"/>
      <c r="W142" s="179"/>
      <c r="X142" s="182" t="e">
        <f t="shared" si="49"/>
        <v>#N/A</v>
      </c>
      <c r="Z142" s="186" t="str">
        <f t="shared" si="40"/>
        <v/>
      </c>
    </row>
    <row r="143" spans="1:29" s="186" customFormat="1">
      <c r="A143" s="179">
        <v>130</v>
      </c>
      <c r="B143" s="179"/>
      <c r="C143" s="179"/>
      <c r="D143" s="179"/>
      <c r="E143" s="180" t="e">
        <f t="shared" si="41"/>
        <v>#N/A</v>
      </c>
      <c r="F143" s="181" t="s">
        <v>1083</v>
      </c>
      <c r="G143" s="181" t="s">
        <v>1084</v>
      </c>
      <c r="H143" s="181" t="e">
        <f t="shared" si="42"/>
        <v>#N/A</v>
      </c>
      <c r="I143" s="181"/>
      <c r="J143" s="181" t="e">
        <f t="shared" si="43"/>
        <v>#N/A</v>
      </c>
      <c r="K143" s="179"/>
      <c r="L143" s="179" t="e">
        <f t="shared" si="44"/>
        <v>#N/A</v>
      </c>
      <c r="M143" s="179" t="e">
        <f t="shared" si="45"/>
        <v>#N/A</v>
      </c>
      <c r="N143" s="182" t="e">
        <f t="shared" si="46"/>
        <v>#N/A</v>
      </c>
      <c r="O143" s="179"/>
      <c r="P143" s="179"/>
      <c r="Q143" s="179">
        <f t="shared" si="47"/>
        <v>0</v>
      </c>
      <c r="R143" s="179">
        <f t="shared" si="48"/>
        <v>1</v>
      </c>
      <c r="S143" s="183"/>
      <c r="T143" s="179"/>
      <c r="U143" s="179"/>
      <c r="V143" s="179"/>
      <c r="W143" s="179"/>
      <c r="X143" s="182" t="e">
        <f t="shared" si="49"/>
        <v>#N/A</v>
      </c>
      <c r="Z143" s="186" t="str">
        <f t="shared" ref="Z143:Z206" si="50">LEFT(D143,3)</f>
        <v/>
      </c>
    </row>
    <row r="144" spans="1:29" s="186" customFormat="1">
      <c r="A144" s="179">
        <v>131</v>
      </c>
      <c r="B144" s="179"/>
      <c r="C144" s="179"/>
      <c r="D144" s="179"/>
      <c r="E144" s="180" t="e">
        <f t="shared" si="41"/>
        <v>#N/A</v>
      </c>
      <c r="F144" s="181" t="s">
        <v>1083</v>
      </c>
      <c r="G144" s="181" t="s">
        <v>1084</v>
      </c>
      <c r="H144" s="181" t="e">
        <f t="shared" si="42"/>
        <v>#N/A</v>
      </c>
      <c r="I144" s="181"/>
      <c r="J144" s="181" t="e">
        <f t="shared" si="43"/>
        <v>#N/A</v>
      </c>
      <c r="K144" s="179"/>
      <c r="L144" s="179" t="e">
        <f t="shared" si="44"/>
        <v>#N/A</v>
      </c>
      <c r="M144" s="179" t="e">
        <f t="shared" si="45"/>
        <v>#N/A</v>
      </c>
      <c r="N144" s="182" t="e">
        <f t="shared" si="46"/>
        <v>#N/A</v>
      </c>
      <c r="O144" s="179"/>
      <c r="P144" s="179"/>
      <c r="Q144" s="179">
        <f t="shared" si="47"/>
        <v>0</v>
      </c>
      <c r="R144" s="179">
        <f t="shared" si="48"/>
        <v>1</v>
      </c>
      <c r="S144" s="183"/>
      <c r="T144" s="179"/>
      <c r="U144" s="179"/>
      <c r="V144" s="179"/>
      <c r="W144" s="179"/>
      <c r="X144" s="182" t="e">
        <f t="shared" si="49"/>
        <v>#N/A</v>
      </c>
      <c r="Z144" s="186" t="str">
        <f t="shared" si="50"/>
        <v/>
      </c>
    </row>
    <row r="145" spans="1:26" s="186" customFormat="1">
      <c r="A145" s="179">
        <v>132</v>
      </c>
      <c r="B145" s="179"/>
      <c r="C145" s="179"/>
      <c r="D145" s="179"/>
      <c r="E145" s="180" t="e">
        <f t="shared" si="41"/>
        <v>#N/A</v>
      </c>
      <c r="F145" s="181" t="s">
        <v>1083</v>
      </c>
      <c r="G145" s="181" t="s">
        <v>1084</v>
      </c>
      <c r="H145" s="181" t="e">
        <f t="shared" si="42"/>
        <v>#N/A</v>
      </c>
      <c r="I145" s="181"/>
      <c r="J145" s="181" t="e">
        <f t="shared" si="43"/>
        <v>#N/A</v>
      </c>
      <c r="K145" s="179"/>
      <c r="L145" s="179" t="e">
        <f t="shared" si="44"/>
        <v>#N/A</v>
      </c>
      <c r="M145" s="179" t="e">
        <f t="shared" si="45"/>
        <v>#N/A</v>
      </c>
      <c r="N145" s="182" t="e">
        <f t="shared" si="46"/>
        <v>#N/A</v>
      </c>
      <c r="O145" s="179"/>
      <c r="P145" s="179"/>
      <c r="Q145" s="179">
        <f t="shared" si="47"/>
        <v>0</v>
      </c>
      <c r="R145" s="179">
        <f t="shared" si="48"/>
        <v>1</v>
      </c>
      <c r="S145" s="183"/>
      <c r="T145" s="179"/>
      <c r="U145" s="179"/>
      <c r="V145" s="179"/>
      <c r="W145" s="179"/>
      <c r="X145" s="182" t="e">
        <f t="shared" si="49"/>
        <v>#N/A</v>
      </c>
      <c r="Z145" s="186" t="str">
        <f t="shared" si="50"/>
        <v/>
      </c>
    </row>
    <row r="146" spans="1:26" s="186" customFormat="1">
      <c r="A146" s="179">
        <v>133</v>
      </c>
      <c r="B146" s="179"/>
      <c r="C146" s="179"/>
      <c r="D146" s="179"/>
      <c r="E146" s="180" t="e">
        <f t="shared" si="41"/>
        <v>#N/A</v>
      </c>
      <c r="F146" s="181" t="s">
        <v>1083</v>
      </c>
      <c r="G146" s="181" t="s">
        <v>1084</v>
      </c>
      <c r="H146" s="181" t="e">
        <f t="shared" si="42"/>
        <v>#N/A</v>
      </c>
      <c r="I146" s="181"/>
      <c r="J146" s="181" t="e">
        <f t="shared" si="43"/>
        <v>#N/A</v>
      </c>
      <c r="K146" s="179"/>
      <c r="L146" s="179" t="e">
        <f t="shared" si="44"/>
        <v>#N/A</v>
      </c>
      <c r="M146" s="179" t="e">
        <f t="shared" si="45"/>
        <v>#N/A</v>
      </c>
      <c r="N146" s="182" t="e">
        <f t="shared" si="46"/>
        <v>#N/A</v>
      </c>
      <c r="O146" s="179"/>
      <c r="P146" s="179"/>
      <c r="Q146" s="179">
        <f t="shared" si="47"/>
        <v>0</v>
      </c>
      <c r="R146" s="179">
        <f t="shared" si="48"/>
        <v>1</v>
      </c>
      <c r="S146" s="183"/>
      <c r="T146" s="179"/>
      <c r="U146" s="179"/>
      <c r="V146" s="179"/>
      <c r="W146" s="179"/>
      <c r="X146" s="182" t="e">
        <f t="shared" si="49"/>
        <v>#N/A</v>
      </c>
      <c r="Z146" s="186" t="str">
        <f t="shared" si="50"/>
        <v/>
      </c>
    </row>
    <row r="147" spans="1:26" s="186" customFormat="1">
      <c r="A147" s="179">
        <v>134</v>
      </c>
      <c r="B147" s="179"/>
      <c r="C147" s="179"/>
      <c r="D147" s="179"/>
      <c r="E147" s="180" t="e">
        <f t="shared" si="41"/>
        <v>#N/A</v>
      </c>
      <c r="F147" s="181" t="s">
        <v>1083</v>
      </c>
      <c r="G147" s="181" t="s">
        <v>1084</v>
      </c>
      <c r="H147" s="181" t="e">
        <f t="shared" si="42"/>
        <v>#N/A</v>
      </c>
      <c r="I147" s="181"/>
      <c r="J147" s="181" t="e">
        <f t="shared" si="43"/>
        <v>#N/A</v>
      </c>
      <c r="K147" s="179"/>
      <c r="L147" s="179" t="e">
        <f t="shared" si="44"/>
        <v>#N/A</v>
      </c>
      <c r="M147" s="179" t="e">
        <f t="shared" si="45"/>
        <v>#N/A</v>
      </c>
      <c r="N147" s="182" t="e">
        <f t="shared" si="46"/>
        <v>#N/A</v>
      </c>
      <c r="O147" s="179"/>
      <c r="P147" s="179"/>
      <c r="Q147" s="179">
        <f t="shared" si="47"/>
        <v>0</v>
      </c>
      <c r="R147" s="179">
        <f t="shared" si="48"/>
        <v>1</v>
      </c>
      <c r="S147" s="183"/>
      <c r="T147" s="179"/>
      <c r="U147" s="179"/>
      <c r="V147" s="179"/>
      <c r="W147" s="179"/>
      <c r="X147" s="182" t="e">
        <f t="shared" si="49"/>
        <v>#N/A</v>
      </c>
      <c r="Z147" s="186" t="str">
        <f t="shared" si="50"/>
        <v/>
      </c>
    </row>
    <row r="148" spans="1:26" s="186" customFormat="1">
      <c r="A148" s="179">
        <v>135</v>
      </c>
      <c r="B148" s="179"/>
      <c r="C148" s="179"/>
      <c r="D148" s="179"/>
      <c r="E148" s="180" t="e">
        <f t="shared" si="41"/>
        <v>#N/A</v>
      </c>
      <c r="F148" s="181" t="s">
        <v>1083</v>
      </c>
      <c r="G148" s="181" t="s">
        <v>1084</v>
      </c>
      <c r="H148" s="181" t="e">
        <f t="shared" si="42"/>
        <v>#N/A</v>
      </c>
      <c r="I148" s="181"/>
      <c r="J148" s="181" t="e">
        <f t="shared" si="43"/>
        <v>#N/A</v>
      </c>
      <c r="K148" s="179"/>
      <c r="L148" s="179" t="e">
        <f t="shared" si="44"/>
        <v>#N/A</v>
      </c>
      <c r="M148" s="179" t="e">
        <f t="shared" si="45"/>
        <v>#N/A</v>
      </c>
      <c r="N148" s="182" t="e">
        <f t="shared" si="46"/>
        <v>#N/A</v>
      </c>
      <c r="O148" s="179"/>
      <c r="P148" s="179"/>
      <c r="Q148" s="179">
        <f t="shared" si="47"/>
        <v>0</v>
      </c>
      <c r="R148" s="179">
        <f t="shared" si="48"/>
        <v>1</v>
      </c>
      <c r="S148" s="183"/>
      <c r="T148" s="179"/>
      <c r="U148" s="179"/>
      <c r="V148" s="179"/>
      <c r="W148" s="179"/>
      <c r="X148" s="182" t="e">
        <f t="shared" si="49"/>
        <v>#N/A</v>
      </c>
      <c r="Z148" s="186" t="str">
        <f t="shared" si="50"/>
        <v/>
      </c>
    </row>
    <row r="149" spans="1:26" s="186" customFormat="1">
      <c r="A149" s="179">
        <v>136</v>
      </c>
      <c r="B149" s="179"/>
      <c r="C149" s="179"/>
      <c r="D149" s="179"/>
      <c r="E149" s="180" t="e">
        <f t="shared" si="41"/>
        <v>#N/A</v>
      </c>
      <c r="F149" s="181" t="s">
        <v>1083</v>
      </c>
      <c r="G149" s="181" t="s">
        <v>1084</v>
      </c>
      <c r="H149" s="181" t="e">
        <f t="shared" si="42"/>
        <v>#N/A</v>
      </c>
      <c r="I149" s="181"/>
      <c r="J149" s="181" t="e">
        <f t="shared" si="43"/>
        <v>#N/A</v>
      </c>
      <c r="K149" s="179"/>
      <c r="L149" s="179" t="e">
        <f t="shared" si="44"/>
        <v>#N/A</v>
      </c>
      <c r="M149" s="179" t="e">
        <f t="shared" si="45"/>
        <v>#N/A</v>
      </c>
      <c r="N149" s="182" t="e">
        <f t="shared" si="46"/>
        <v>#N/A</v>
      </c>
      <c r="O149" s="179"/>
      <c r="P149" s="179"/>
      <c r="Q149" s="179">
        <f t="shared" si="47"/>
        <v>0</v>
      </c>
      <c r="R149" s="179">
        <f t="shared" si="48"/>
        <v>1</v>
      </c>
      <c r="S149" s="183"/>
      <c r="T149" s="179"/>
      <c r="U149" s="179"/>
      <c r="V149" s="179"/>
      <c r="W149" s="179"/>
      <c r="X149" s="182" t="e">
        <f t="shared" si="49"/>
        <v>#N/A</v>
      </c>
      <c r="Z149" s="186" t="str">
        <f t="shared" si="50"/>
        <v/>
      </c>
    </row>
    <row r="150" spans="1:26" s="186" customFormat="1">
      <c r="A150" s="179">
        <v>137</v>
      </c>
      <c r="B150" s="179"/>
      <c r="C150" s="179"/>
      <c r="D150" s="179"/>
      <c r="E150" s="180" t="e">
        <f t="shared" si="41"/>
        <v>#N/A</v>
      </c>
      <c r="F150" s="181" t="s">
        <v>1083</v>
      </c>
      <c r="G150" s="181" t="s">
        <v>1084</v>
      </c>
      <c r="H150" s="181" t="e">
        <f t="shared" si="42"/>
        <v>#N/A</v>
      </c>
      <c r="I150" s="181"/>
      <c r="J150" s="181" t="e">
        <f t="shared" si="43"/>
        <v>#N/A</v>
      </c>
      <c r="K150" s="179"/>
      <c r="L150" s="179" t="e">
        <f t="shared" si="44"/>
        <v>#N/A</v>
      </c>
      <c r="M150" s="179" t="e">
        <f t="shared" si="45"/>
        <v>#N/A</v>
      </c>
      <c r="N150" s="182" t="e">
        <f t="shared" si="46"/>
        <v>#N/A</v>
      </c>
      <c r="O150" s="179"/>
      <c r="P150" s="179"/>
      <c r="Q150" s="179">
        <f t="shared" si="47"/>
        <v>0</v>
      </c>
      <c r="R150" s="179">
        <f t="shared" si="48"/>
        <v>1</v>
      </c>
      <c r="S150" s="183"/>
      <c r="T150" s="179"/>
      <c r="U150" s="179"/>
      <c r="V150" s="179"/>
      <c r="W150" s="179"/>
      <c r="X150" s="182" t="e">
        <f t="shared" si="49"/>
        <v>#N/A</v>
      </c>
      <c r="Z150" s="186" t="str">
        <f t="shared" si="50"/>
        <v/>
      </c>
    </row>
    <row r="151" spans="1:26" s="186" customFormat="1">
      <c r="A151" s="179">
        <v>138</v>
      </c>
      <c r="B151" s="179"/>
      <c r="C151" s="179"/>
      <c r="D151" s="179"/>
      <c r="E151" s="180" t="e">
        <f t="shared" si="41"/>
        <v>#N/A</v>
      </c>
      <c r="F151" s="181" t="s">
        <v>1083</v>
      </c>
      <c r="G151" s="181" t="s">
        <v>1084</v>
      </c>
      <c r="H151" s="181" t="e">
        <f t="shared" si="42"/>
        <v>#N/A</v>
      </c>
      <c r="I151" s="181"/>
      <c r="J151" s="181" t="e">
        <f t="shared" si="43"/>
        <v>#N/A</v>
      </c>
      <c r="K151" s="179"/>
      <c r="L151" s="179" t="e">
        <f t="shared" si="44"/>
        <v>#N/A</v>
      </c>
      <c r="M151" s="179" t="e">
        <f t="shared" si="45"/>
        <v>#N/A</v>
      </c>
      <c r="N151" s="182" t="e">
        <f t="shared" si="46"/>
        <v>#N/A</v>
      </c>
      <c r="O151" s="179"/>
      <c r="P151" s="179"/>
      <c r="Q151" s="179">
        <f t="shared" si="47"/>
        <v>0</v>
      </c>
      <c r="R151" s="179">
        <f t="shared" si="48"/>
        <v>1</v>
      </c>
      <c r="S151" s="183"/>
      <c r="T151" s="179"/>
      <c r="U151" s="179"/>
      <c r="V151" s="179"/>
      <c r="W151" s="179"/>
      <c r="X151" s="182" t="e">
        <f t="shared" si="49"/>
        <v>#N/A</v>
      </c>
      <c r="Z151" s="186" t="str">
        <f t="shared" si="50"/>
        <v/>
      </c>
    </row>
    <row r="152" spans="1:26" s="186" customFormat="1">
      <c r="A152" s="179">
        <v>139</v>
      </c>
      <c r="B152" s="179"/>
      <c r="C152" s="179"/>
      <c r="D152" s="179"/>
      <c r="E152" s="180" t="e">
        <f t="shared" si="41"/>
        <v>#N/A</v>
      </c>
      <c r="F152" s="181" t="s">
        <v>1083</v>
      </c>
      <c r="G152" s="181" t="s">
        <v>1084</v>
      </c>
      <c r="H152" s="181" t="e">
        <f t="shared" si="42"/>
        <v>#N/A</v>
      </c>
      <c r="I152" s="181"/>
      <c r="J152" s="181" t="e">
        <f t="shared" si="43"/>
        <v>#N/A</v>
      </c>
      <c r="K152" s="179"/>
      <c r="L152" s="179" t="e">
        <f t="shared" si="44"/>
        <v>#N/A</v>
      </c>
      <c r="M152" s="179" t="e">
        <f t="shared" si="45"/>
        <v>#N/A</v>
      </c>
      <c r="N152" s="182" t="e">
        <f t="shared" si="46"/>
        <v>#N/A</v>
      </c>
      <c r="O152" s="179"/>
      <c r="P152" s="179"/>
      <c r="Q152" s="179">
        <f t="shared" si="47"/>
        <v>0</v>
      </c>
      <c r="R152" s="179">
        <f t="shared" si="48"/>
        <v>1</v>
      </c>
      <c r="S152" s="183"/>
      <c r="T152" s="179"/>
      <c r="U152" s="179"/>
      <c r="V152" s="179"/>
      <c r="W152" s="179"/>
      <c r="X152" s="182" t="e">
        <f t="shared" si="49"/>
        <v>#N/A</v>
      </c>
      <c r="Z152" s="186" t="str">
        <f t="shared" si="50"/>
        <v/>
      </c>
    </row>
    <row r="153" spans="1:26" s="186" customFormat="1">
      <c r="A153" s="179">
        <v>140</v>
      </c>
      <c r="B153" s="179"/>
      <c r="C153" s="179"/>
      <c r="D153" s="179"/>
      <c r="E153" s="180" t="e">
        <f t="shared" si="41"/>
        <v>#N/A</v>
      </c>
      <c r="F153" s="181" t="s">
        <v>1083</v>
      </c>
      <c r="G153" s="181" t="s">
        <v>1084</v>
      </c>
      <c r="H153" s="181" t="e">
        <f t="shared" si="42"/>
        <v>#N/A</v>
      </c>
      <c r="I153" s="181"/>
      <c r="J153" s="181" t="e">
        <f t="shared" si="43"/>
        <v>#N/A</v>
      </c>
      <c r="K153" s="179"/>
      <c r="L153" s="179" t="e">
        <f t="shared" si="44"/>
        <v>#N/A</v>
      </c>
      <c r="M153" s="179" t="e">
        <f t="shared" si="45"/>
        <v>#N/A</v>
      </c>
      <c r="N153" s="182" t="e">
        <f t="shared" si="46"/>
        <v>#N/A</v>
      </c>
      <c r="O153" s="179"/>
      <c r="P153" s="179"/>
      <c r="Q153" s="179">
        <f t="shared" si="47"/>
        <v>0</v>
      </c>
      <c r="R153" s="179">
        <f t="shared" si="48"/>
        <v>1</v>
      </c>
      <c r="S153" s="183"/>
      <c r="T153" s="179"/>
      <c r="U153" s="179"/>
      <c r="V153" s="179"/>
      <c r="W153" s="179"/>
      <c r="X153" s="182" t="e">
        <f t="shared" si="49"/>
        <v>#N/A</v>
      </c>
      <c r="Z153" s="186" t="str">
        <f t="shared" si="50"/>
        <v/>
      </c>
    </row>
    <row r="154" spans="1:26" s="186" customFormat="1">
      <c r="A154" s="179">
        <v>141</v>
      </c>
      <c r="B154" s="179"/>
      <c r="C154" s="179"/>
      <c r="D154" s="179"/>
      <c r="E154" s="180" t="e">
        <f t="shared" si="41"/>
        <v>#N/A</v>
      </c>
      <c r="F154" s="181" t="s">
        <v>1083</v>
      </c>
      <c r="G154" s="181" t="s">
        <v>1084</v>
      </c>
      <c r="H154" s="181" t="e">
        <f t="shared" si="42"/>
        <v>#N/A</v>
      </c>
      <c r="I154" s="181"/>
      <c r="J154" s="181" t="e">
        <f t="shared" si="43"/>
        <v>#N/A</v>
      </c>
      <c r="K154" s="179"/>
      <c r="L154" s="179" t="e">
        <f t="shared" si="44"/>
        <v>#N/A</v>
      </c>
      <c r="M154" s="179" t="e">
        <f t="shared" si="45"/>
        <v>#N/A</v>
      </c>
      <c r="N154" s="182" t="e">
        <f t="shared" si="46"/>
        <v>#N/A</v>
      </c>
      <c r="O154" s="179"/>
      <c r="P154" s="179"/>
      <c r="Q154" s="179">
        <f t="shared" si="47"/>
        <v>0</v>
      </c>
      <c r="R154" s="179">
        <f t="shared" si="48"/>
        <v>1</v>
      </c>
      <c r="S154" s="183"/>
      <c r="T154" s="179"/>
      <c r="U154" s="179"/>
      <c r="V154" s="179"/>
      <c r="W154" s="179"/>
      <c r="X154" s="182" t="e">
        <f t="shared" si="49"/>
        <v>#N/A</v>
      </c>
      <c r="Z154" s="186" t="str">
        <f t="shared" si="50"/>
        <v/>
      </c>
    </row>
    <row r="155" spans="1:26" s="186" customFormat="1">
      <c r="A155" s="179">
        <v>142</v>
      </c>
      <c r="B155" s="179"/>
      <c r="C155" s="179"/>
      <c r="D155" s="179"/>
      <c r="E155" s="180" t="e">
        <f t="shared" si="41"/>
        <v>#N/A</v>
      </c>
      <c r="F155" s="181" t="s">
        <v>1083</v>
      </c>
      <c r="G155" s="181" t="s">
        <v>1084</v>
      </c>
      <c r="H155" s="181" t="e">
        <f t="shared" si="42"/>
        <v>#N/A</v>
      </c>
      <c r="I155" s="181"/>
      <c r="J155" s="181" t="e">
        <f t="shared" si="43"/>
        <v>#N/A</v>
      </c>
      <c r="K155" s="179"/>
      <c r="L155" s="179" t="e">
        <f t="shared" si="44"/>
        <v>#N/A</v>
      </c>
      <c r="M155" s="179" t="e">
        <f t="shared" si="45"/>
        <v>#N/A</v>
      </c>
      <c r="N155" s="182" t="e">
        <f t="shared" si="46"/>
        <v>#N/A</v>
      </c>
      <c r="O155" s="179"/>
      <c r="P155" s="179"/>
      <c r="Q155" s="179">
        <f t="shared" si="47"/>
        <v>0</v>
      </c>
      <c r="R155" s="179">
        <f t="shared" si="48"/>
        <v>1</v>
      </c>
      <c r="S155" s="183"/>
      <c r="T155" s="179"/>
      <c r="U155" s="179"/>
      <c r="V155" s="179"/>
      <c r="W155" s="179"/>
      <c r="X155" s="182" t="e">
        <f t="shared" si="49"/>
        <v>#N/A</v>
      </c>
      <c r="Z155" s="186" t="str">
        <f t="shared" si="50"/>
        <v/>
      </c>
    </row>
    <row r="156" spans="1:26" s="186" customFormat="1">
      <c r="A156" s="179">
        <v>143</v>
      </c>
      <c r="B156" s="179"/>
      <c r="C156" s="179"/>
      <c r="D156" s="179"/>
      <c r="E156" s="180" t="e">
        <f t="shared" si="41"/>
        <v>#N/A</v>
      </c>
      <c r="F156" s="181" t="s">
        <v>1083</v>
      </c>
      <c r="G156" s="181" t="s">
        <v>1084</v>
      </c>
      <c r="H156" s="181" t="e">
        <f t="shared" si="42"/>
        <v>#N/A</v>
      </c>
      <c r="I156" s="181"/>
      <c r="J156" s="181" t="e">
        <f t="shared" si="43"/>
        <v>#N/A</v>
      </c>
      <c r="K156" s="179"/>
      <c r="L156" s="179" t="e">
        <f t="shared" si="44"/>
        <v>#N/A</v>
      </c>
      <c r="M156" s="179" t="e">
        <f t="shared" si="45"/>
        <v>#N/A</v>
      </c>
      <c r="N156" s="182" t="e">
        <f t="shared" si="46"/>
        <v>#N/A</v>
      </c>
      <c r="O156" s="179"/>
      <c r="P156" s="179"/>
      <c r="Q156" s="179">
        <f t="shared" si="47"/>
        <v>0</v>
      </c>
      <c r="R156" s="179">
        <f t="shared" si="48"/>
        <v>1</v>
      </c>
      <c r="S156" s="183"/>
      <c r="T156" s="179"/>
      <c r="U156" s="179"/>
      <c r="V156" s="179"/>
      <c r="W156" s="179"/>
      <c r="X156" s="182" t="e">
        <f t="shared" si="49"/>
        <v>#N/A</v>
      </c>
      <c r="Z156" s="186" t="str">
        <f t="shared" si="50"/>
        <v/>
      </c>
    </row>
    <row r="157" spans="1:26" s="186" customFormat="1">
      <c r="A157" s="179">
        <v>144</v>
      </c>
      <c r="B157" s="179"/>
      <c r="C157" s="179"/>
      <c r="D157" s="179"/>
      <c r="E157" s="180" t="e">
        <f t="shared" si="41"/>
        <v>#N/A</v>
      </c>
      <c r="F157" s="181" t="s">
        <v>1083</v>
      </c>
      <c r="G157" s="181" t="s">
        <v>1084</v>
      </c>
      <c r="H157" s="181" t="e">
        <f t="shared" si="42"/>
        <v>#N/A</v>
      </c>
      <c r="I157" s="181"/>
      <c r="J157" s="181" t="e">
        <f t="shared" si="43"/>
        <v>#N/A</v>
      </c>
      <c r="K157" s="179"/>
      <c r="L157" s="179" t="e">
        <f t="shared" si="44"/>
        <v>#N/A</v>
      </c>
      <c r="M157" s="179" t="e">
        <f t="shared" si="45"/>
        <v>#N/A</v>
      </c>
      <c r="N157" s="182" t="e">
        <f t="shared" si="46"/>
        <v>#N/A</v>
      </c>
      <c r="O157" s="179"/>
      <c r="P157" s="179"/>
      <c r="Q157" s="179">
        <f t="shared" si="47"/>
        <v>0</v>
      </c>
      <c r="R157" s="179">
        <f t="shared" si="48"/>
        <v>1</v>
      </c>
      <c r="S157" s="183"/>
      <c r="T157" s="179"/>
      <c r="U157" s="179"/>
      <c r="V157" s="179"/>
      <c r="W157" s="179"/>
      <c r="X157" s="182" t="e">
        <f t="shared" si="49"/>
        <v>#N/A</v>
      </c>
      <c r="Z157" s="186" t="str">
        <f t="shared" si="50"/>
        <v/>
      </c>
    </row>
    <row r="158" spans="1:26" s="186" customFormat="1">
      <c r="A158" s="179">
        <v>145</v>
      </c>
      <c r="B158" s="179"/>
      <c r="C158" s="179"/>
      <c r="D158" s="179"/>
      <c r="E158" s="180" t="e">
        <f t="shared" si="41"/>
        <v>#N/A</v>
      </c>
      <c r="F158" s="181" t="s">
        <v>1083</v>
      </c>
      <c r="G158" s="181" t="s">
        <v>1084</v>
      </c>
      <c r="H158" s="181" t="e">
        <f t="shared" si="42"/>
        <v>#N/A</v>
      </c>
      <c r="I158" s="181"/>
      <c r="J158" s="181" t="e">
        <f t="shared" si="43"/>
        <v>#N/A</v>
      </c>
      <c r="K158" s="179"/>
      <c r="L158" s="179" t="e">
        <f t="shared" si="44"/>
        <v>#N/A</v>
      </c>
      <c r="M158" s="179" t="e">
        <f t="shared" si="45"/>
        <v>#N/A</v>
      </c>
      <c r="N158" s="182" t="e">
        <f t="shared" si="46"/>
        <v>#N/A</v>
      </c>
      <c r="O158" s="179"/>
      <c r="P158" s="179"/>
      <c r="Q158" s="179">
        <f t="shared" si="47"/>
        <v>0</v>
      </c>
      <c r="R158" s="179">
        <f t="shared" si="48"/>
        <v>1</v>
      </c>
      <c r="S158" s="183"/>
      <c r="T158" s="179"/>
      <c r="U158" s="179"/>
      <c r="V158" s="179"/>
      <c r="W158" s="179"/>
      <c r="X158" s="182" t="e">
        <f t="shared" si="49"/>
        <v>#N/A</v>
      </c>
      <c r="Z158" s="186" t="str">
        <f t="shared" si="50"/>
        <v/>
      </c>
    </row>
    <row r="159" spans="1:26" s="186" customFormat="1">
      <c r="A159" s="179">
        <v>146</v>
      </c>
      <c r="B159" s="179"/>
      <c r="C159" s="179"/>
      <c r="D159" s="179"/>
      <c r="E159" s="180" t="e">
        <f t="shared" si="41"/>
        <v>#N/A</v>
      </c>
      <c r="F159" s="181" t="s">
        <v>1083</v>
      </c>
      <c r="G159" s="181" t="s">
        <v>1084</v>
      </c>
      <c r="H159" s="181" t="e">
        <f t="shared" si="42"/>
        <v>#N/A</v>
      </c>
      <c r="I159" s="181"/>
      <c r="J159" s="181" t="e">
        <f t="shared" si="43"/>
        <v>#N/A</v>
      </c>
      <c r="K159" s="179"/>
      <c r="L159" s="179" t="e">
        <f t="shared" si="44"/>
        <v>#N/A</v>
      </c>
      <c r="M159" s="179" t="e">
        <f t="shared" si="45"/>
        <v>#N/A</v>
      </c>
      <c r="N159" s="182" t="e">
        <f t="shared" si="46"/>
        <v>#N/A</v>
      </c>
      <c r="O159" s="179"/>
      <c r="P159" s="179"/>
      <c r="Q159" s="179">
        <f t="shared" si="47"/>
        <v>0</v>
      </c>
      <c r="R159" s="179">
        <f t="shared" si="48"/>
        <v>1</v>
      </c>
      <c r="S159" s="183"/>
      <c r="T159" s="179"/>
      <c r="U159" s="179"/>
      <c r="V159" s="179"/>
      <c r="W159" s="179"/>
      <c r="X159" s="182" t="e">
        <f t="shared" si="49"/>
        <v>#N/A</v>
      </c>
      <c r="Z159" s="186" t="str">
        <f t="shared" si="50"/>
        <v/>
      </c>
    </row>
    <row r="160" spans="1:26" s="186" customFormat="1">
      <c r="A160" s="179">
        <v>147</v>
      </c>
      <c r="B160" s="179"/>
      <c r="C160" s="179"/>
      <c r="D160" s="179"/>
      <c r="E160" s="180" t="e">
        <f t="shared" si="41"/>
        <v>#N/A</v>
      </c>
      <c r="F160" s="181" t="s">
        <v>1083</v>
      </c>
      <c r="G160" s="181" t="s">
        <v>1084</v>
      </c>
      <c r="H160" s="181" t="e">
        <f t="shared" si="42"/>
        <v>#N/A</v>
      </c>
      <c r="I160" s="181"/>
      <c r="J160" s="181" t="e">
        <f t="shared" si="43"/>
        <v>#N/A</v>
      </c>
      <c r="K160" s="179"/>
      <c r="L160" s="179" t="e">
        <f t="shared" si="44"/>
        <v>#N/A</v>
      </c>
      <c r="M160" s="179" t="e">
        <f t="shared" si="45"/>
        <v>#N/A</v>
      </c>
      <c r="N160" s="182" t="e">
        <f t="shared" si="46"/>
        <v>#N/A</v>
      </c>
      <c r="O160" s="179"/>
      <c r="P160" s="179"/>
      <c r="Q160" s="179">
        <f t="shared" si="47"/>
        <v>0</v>
      </c>
      <c r="R160" s="179">
        <f t="shared" si="48"/>
        <v>1</v>
      </c>
      <c r="S160" s="183"/>
      <c r="T160" s="179"/>
      <c r="U160" s="179"/>
      <c r="V160" s="179"/>
      <c r="W160" s="179"/>
      <c r="X160" s="182" t="e">
        <f t="shared" si="49"/>
        <v>#N/A</v>
      </c>
      <c r="Z160" s="186" t="str">
        <f t="shared" si="50"/>
        <v/>
      </c>
    </row>
    <row r="161" spans="1:26" s="186" customFormat="1">
      <c r="A161" s="179">
        <v>148</v>
      </c>
      <c r="B161" s="179"/>
      <c r="C161" s="179"/>
      <c r="D161" s="179"/>
      <c r="E161" s="180" t="e">
        <f t="shared" si="41"/>
        <v>#N/A</v>
      </c>
      <c r="F161" s="181" t="s">
        <v>1083</v>
      </c>
      <c r="G161" s="181" t="s">
        <v>1084</v>
      </c>
      <c r="H161" s="181" t="e">
        <f t="shared" si="42"/>
        <v>#N/A</v>
      </c>
      <c r="I161" s="181"/>
      <c r="J161" s="181" t="e">
        <f t="shared" si="43"/>
        <v>#N/A</v>
      </c>
      <c r="K161" s="179"/>
      <c r="L161" s="179" t="e">
        <f t="shared" si="44"/>
        <v>#N/A</v>
      </c>
      <c r="M161" s="179" t="e">
        <f t="shared" si="45"/>
        <v>#N/A</v>
      </c>
      <c r="N161" s="182" t="e">
        <f t="shared" si="46"/>
        <v>#N/A</v>
      </c>
      <c r="O161" s="179"/>
      <c r="P161" s="179"/>
      <c r="Q161" s="179">
        <f t="shared" si="47"/>
        <v>0</v>
      </c>
      <c r="R161" s="179">
        <f t="shared" si="48"/>
        <v>1</v>
      </c>
      <c r="S161" s="183"/>
      <c r="T161" s="179"/>
      <c r="U161" s="179"/>
      <c r="V161" s="179"/>
      <c r="W161" s="179"/>
      <c r="X161" s="182" t="e">
        <f t="shared" si="49"/>
        <v>#N/A</v>
      </c>
      <c r="Z161" s="186" t="str">
        <f t="shared" si="50"/>
        <v/>
      </c>
    </row>
    <row r="162" spans="1:26" s="186" customFormat="1">
      <c r="A162" s="179">
        <v>149</v>
      </c>
      <c r="B162" s="179"/>
      <c r="C162" s="179"/>
      <c r="D162" s="179"/>
      <c r="E162" s="180" t="e">
        <f t="shared" si="41"/>
        <v>#N/A</v>
      </c>
      <c r="F162" s="181" t="s">
        <v>1083</v>
      </c>
      <c r="G162" s="181" t="s">
        <v>1084</v>
      </c>
      <c r="H162" s="181" t="e">
        <f t="shared" si="42"/>
        <v>#N/A</v>
      </c>
      <c r="I162" s="181"/>
      <c r="J162" s="181" t="e">
        <f t="shared" si="43"/>
        <v>#N/A</v>
      </c>
      <c r="K162" s="179"/>
      <c r="L162" s="179" t="e">
        <f t="shared" si="44"/>
        <v>#N/A</v>
      </c>
      <c r="M162" s="179" t="e">
        <f t="shared" si="45"/>
        <v>#N/A</v>
      </c>
      <c r="N162" s="182" t="e">
        <f t="shared" si="46"/>
        <v>#N/A</v>
      </c>
      <c r="O162" s="179"/>
      <c r="P162" s="179"/>
      <c r="Q162" s="179">
        <f t="shared" si="47"/>
        <v>0</v>
      </c>
      <c r="R162" s="179">
        <f t="shared" si="48"/>
        <v>1</v>
      </c>
      <c r="S162" s="183"/>
      <c r="T162" s="179"/>
      <c r="U162" s="179"/>
      <c r="V162" s="179"/>
      <c r="W162" s="179"/>
      <c r="X162" s="182" t="e">
        <f t="shared" si="49"/>
        <v>#N/A</v>
      </c>
      <c r="Z162" s="186" t="str">
        <f t="shared" si="50"/>
        <v/>
      </c>
    </row>
    <row r="163" spans="1:26" s="186" customFormat="1">
      <c r="A163" s="179">
        <v>150</v>
      </c>
      <c r="B163" s="179"/>
      <c r="C163" s="179"/>
      <c r="D163" s="179"/>
      <c r="E163" s="180" t="e">
        <f t="shared" si="41"/>
        <v>#N/A</v>
      </c>
      <c r="F163" s="181" t="s">
        <v>1083</v>
      </c>
      <c r="G163" s="181" t="s">
        <v>1084</v>
      </c>
      <c r="H163" s="181" t="e">
        <f t="shared" si="42"/>
        <v>#N/A</v>
      </c>
      <c r="I163" s="181"/>
      <c r="J163" s="181" t="e">
        <f t="shared" si="43"/>
        <v>#N/A</v>
      </c>
      <c r="K163" s="179"/>
      <c r="L163" s="179" t="e">
        <f t="shared" si="44"/>
        <v>#N/A</v>
      </c>
      <c r="M163" s="179" t="e">
        <f t="shared" si="45"/>
        <v>#N/A</v>
      </c>
      <c r="N163" s="182" t="e">
        <f t="shared" si="46"/>
        <v>#N/A</v>
      </c>
      <c r="O163" s="179"/>
      <c r="P163" s="179"/>
      <c r="Q163" s="179">
        <f t="shared" si="47"/>
        <v>0</v>
      </c>
      <c r="R163" s="179">
        <f t="shared" si="48"/>
        <v>1</v>
      </c>
      <c r="S163" s="183"/>
      <c r="T163" s="179"/>
      <c r="U163" s="179"/>
      <c r="V163" s="179"/>
      <c r="W163" s="179"/>
      <c r="X163" s="182" t="e">
        <f t="shared" si="49"/>
        <v>#N/A</v>
      </c>
      <c r="Z163" s="186" t="str">
        <f t="shared" si="50"/>
        <v/>
      </c>
    </row>
    <row r="164" spans="1:26" s="186" customFormat="1">
      <c r="A164" s="179">
        <v>151</v>
      </c>
      <c r="B164" s="179"/>
      <c r="C164" s="179"/>
      <c r="D164" s="179"/>
      <c r="E164" s="180" t="e">
        <f t="shared" si="41"/>
        <v>#N/A</v>
      </c>
      <c r="F164" s="181" t="s">
        <v>1083</v>
      </c>
      <c r="G164" s="181" t="s">
        <v>1084</v>
      </c>
      <c r="H164" s="181" t="e">
        <f t="shared" si="42"/>
        <v>#N/A</v>
      </c>
      <c r="I164" s="181"/>
      <c r="J164" s="181" t="e">
        <f t="shared" si="43"/>
        <v>#N/A</v>
      </c>
      <c r="K164" s="179"/>
      <c r="L164" s="179" t="e">
        <f t="shared" si="44"/>
        <v>#N/A</v>
      </c>
      <c r="M164" s="179" t="e">
        <f t="shared" si="45"/>
        <v>#N/A</v>
      </c>
      <c r="N164" s="182" t="e">
        <f t="shared" si="46"/>
        <v>#N/A</v>
      </c>
      <c r="O164" s="179"/>
      <c r="P164" s="179"/>
      <c r="Q164" s="179">
        <f t="shared" si="47"/>
        <v>0</v>
      </c>
      <c r="R164" s="179">
        <f t="shared" si="48"/>
        <v>1</v>
      </c>
      <c r="S164" s="183"/>
      <c r="T164" s="179"/>
      <c r="U164" s="179"/>
      <c r="V164" s="179"/>
      <c r="W164" s="179"/>
      <c r="X164" s="182" t="e">
        <f t="shared" si="49"/>
        <v>#N/A</v>
      </c>
      <c r="Z164" s="186" t="str">
        <f t="shared" si="50"/>
        <v/>
      </c>
    </row>
    <row r="165" spans="1:26" s="186" customFormat="1">
      <c r="A165" s="179">
        <v>152</v>
      </c>
      <c r="B165" s="179"/>
      <c r="C165" s="179"/>
      <c r="D165" s="179"/>
      <c r="E165" s="180" t="e">
        <f t="shared" si="41"/>
        <v>#N/A</v>
      </c>
      <c r="F165" s="181" t="s">
        <v>1083</v>
      </c>
      <c r="G165" s="181" t="s">
        <v>1084</v>
      </c>
      <c r="H165" s="181" t="e">
        <f t="shared" si="42"/>
        <v>#N/A</v>
      </c>
      <c r="I165" s="181"/>
      <c r="J165" s="181" t="e">
        <f t="shared" si="43"/>
        <v>#N/A</v>
      </c>
      <c r="K165" s="179"/>
      <c r="L165" s="179" t="e">
        <f t="shared" si="44"/>
        <v>#N/A</v>
      </c>
      <c r="M165" s="179" t="e">
        <f t="shared" si="45"/>
        <v>#N/A</v>
      </c>
      <c r="N165" s="182" t="e">
        <f t="shared" si="46"/>
        <v>#N/A</v>
      </c>
      <c r="O165" s="179"/>
      <c r="P165" s="179"/>
      <c r="Q165" s="179">
        <f t="shared" si="47"/>
        <v>0</v>
      </c>
      <c r="R165" s="179">
        <f t="shared" si="48"/>
        <v>1</v>
      </c>
      <c r="S165" s="183"/>
      <c r="T165" s="179"/>
      <c r="U165" s="179"/>
      <c r="V165" s="179"/>
      <c r="W165" s="179"/>
      <c r="X165" s="182" t="e">
        <f t="shared" si="49"/>
        <v>#N/A</v>
      </c>
      <c r="Z165" s="186" t="str">
        <f t="shared" si="50"/>
        <v/>
      </c>
    </row>
    <row r="166" spans="1:26" s="186" customFormat="1">
      <c r="A166" s="179">
        <v>153</v>
      </c>
      <c r="B166" s="179"/>
      <c r="C166" s="179"/>
      <c r="D166" s="179"/>
      <c r="E166" s="180" t="e">
        <f t="shared" si="41"/>
        <v>#N/A</v>
      </c>
      <c r="F166" s="181" t="s">
        <v>1083</v>
      </c>
      <c r="G166" s="181" t="s">
        <v>1084</v>
      </c>
      <c r="H166" s="181" t="e">
        <f t="shared" si="42"/>
        <v>#N/A</v>
      </c>
      <c r="I166" s="181"/>
      <c r="J166" s="181" t="e">
        <f t="shared" si="43"/>
        <v>#N/A</v>
      </c>
      <c r="K166" s="179"/>
      <c r="L166" s="179" t="e">
        <f t="shared" si="44"/>
        <v>#N/A</v>
      </c>
      <c r="M166" s="179" t="e">
        <f t="shared" si="45"/>
        <v>#N/A</v>
      </c>
      <c r="N166" s="182" t="e">
        <f t="shared" si="46"/>
        <v>#N/A</v>
      </c>
      <c r="O166" s="179"/>
      <c r="P166" s="179"/>
      <c r="Q166" s="179">
        <f t="shared" si="47"/>
        <v>0</v>
      </c>
      <c r="R166" s="179">
        <f t="shared" si="48"/>
        <v>1</v>
      </c>
      <c r="S166" s="183"/>
      <c r="T166" s="179"/>
      <c r="U166" s="179"/>
      <c r="V166" s="179"/>
      <c r="W166" s="179"/>
      <c r="X166" s="182" t="e">
        <f t="shared" si="49"/>
        <v>#N/A</v>
      </c>
      <c r="Z166" s="186" t="str">
        <f t="shared" si="50"/>
        <v/>
      </c>
    </row>
    <row r="167" spans="1:26" s="186" customFormat="1">
      <c r="A167" s="179">
        <v>154</v>
      </c>
      <c r="B167" s="179"/>
      <c r="C167" s="179"/>
      <c r="D167" s="179"/>
      <c r="E167" s="180" t="e">
        <f t="shared" si="41"/>
        <v>#N/A</v>
      </c>
      <c r="F167" s="181" t="s">
        <v>1083</v>
      </c>
      <c r="G167" s="181" t="s">
        <v>1084</v>
      </c>
      <c r="H167" s="181" t="e">
        <f t="shared" si="42"/>
        <v>#N/A</v>
      </c>
      <c r="I167" s="181"/>
      <c r="J167" s="181" t="e">
        <f t="shared" si="43"/>
        <v>#N/A</v>
      </c>
      <c r="K167" s="179"/>
      <c r="L167" s="179" t="e">
        <f t="shared" si="44"/>
        <v>#N/A</v>
      </c>
      <c r="M167" s="179" t="e">
        <f t="shared" si="45"/>
        <v>#N/A</v>
      </c>
      <c r="N167" s="182" t="e">
        <f t="shared" si="46"/>
        <v>#N/A</v>
      </c>
      <c r="O167" s="179"/>
      <c r="P167" s="179"/>
      <c r="Q167" s="179">
        <f t="shared" si="47"/>
        <v>0</v>
      </c>
      <c r="R167" s="179">
        <f t="shared" si="48"/>
        <v>1</v>
      </c>
      <c r="S167" s="183"/>
      <c r="T167" s="179"/>
      <c r="U167" s="179"/>
      <c r="V167" s="179"/>
      <c r="W167" s="179"/>
      <c r="X167" s="182" t="e">
        <f t="shared" si="49"/>
        <v>#N/A</v>
      </c>
      <c r="Z167" s="186" t="str">
        <f t="shared" si="50"/>
        <v/>
      </c>
    </row>
    <row r="168" spans="1:26" s="186" customFormat="1">
      <c r="A168" s="179">
        <v>155</v>
      </c>
      <c r="B168" s="179"/>
      <c r="C168" s="179"/>
      <c r="D168" s="179"/>
      <c r="E168" s="180" t="e">
        <f t="shared" si="41"/>
        <v>#N/A</v>
      </c>
      <c r="F168" s="181" t="s">
        <v>1083</v>
      </c>
      <c r="G168" s="181" t="s">
        <v>1084</v>
      </c>
      <c r="H168" s="181" t="e">
        <f t="shared" si="42"/>
        <v>#N/A</v>
      </c>
      <c r="I168" s="181"/>
      <c r="J168" s="181" t="e">
        <f t="shared" si="43"/>
        <v>#N/A</v>
      </c>
      <c r="K168" s="179"/>
      <c r="L168" s="179" t="e">
        <f t="shared" si="44"/>
        <v>#N/A</v>
      </c>
      <c r="M168" s="179" t="e">
        <f t="shared" si="45"/>
        <v>#N/A</v>
      </c>
      <c r="N168" s="182" t="e">
        <f t="shared" si="46"/>
        <v>#N/A</v>
      </c>
      <c r="O168" s="179"/>
      <c r="P168" s="179"/>
      <c r="Q168" s="179">
        <f t="shared" si="47"/>
        <v>0</v>
      </c>
      <c r="R168" s="179">
        <f t="shared" si="48"/>
        <v>1</v>
      </c>
      <c r="S168" s="183"/>
      <c r="T168" s="179"/>
      <c r="U168" s="179"/>
      <c r="V168" s="179"/>
      <c r="W168" s="179"/>
      <c r="X168" s="182" t="e">
        <f t="shared" si="49"/>
        <v>#N/A</v>
      </c>
      <c r="Z168" s="186" t="str">
        <f t="shared" si="50"/>
        <v/>
      </c>
    </row>
    <row r="169" spans="1:26" s="186" customFormat="1">
      <c r="A169" s="179">
        <v>156</v>
      </c>
      <c r="B169" s="179"/>
      <c r="C169" s="179"/>
      <c r="D169" s="179"/>
      <c r="E169" s="180" t="e">
        <f t="shared" si="41"/>
        <v>#N/A</v>
      </c>
      <c r="F169" s="181" t="s">
        <v>1083</v>
      </c>
      <c r="G169" s="181" t="s">
        <v>1084</v>
      </c>
      <c r="H169" s="181" t="e">
        <f t="shared" si="42"/>
        <v>#N/A</v>
      </c>
      <c r="I169" s="181"/>
      <c r="J169" s="181" t="e">
        <f t="shared" si="43"/>
        <v>#N/A</v>
      </c>
      <c r="K169" s="179"/>
      <c r="L169" s="179" t="e">
        <f t="shared" si="44"/>
        <v>#N/A</v>
      </c>
      <c r="M169" s="179" t="e">
        <f t="shared" si="45"/>
        <v>#N/A</v>
      </c>
      <c r="N169" s="182" t="e">
        <f t="shared" si="46"/>
        <v>#N/A</v>
      </c>
      <c r="O169" s="179"/>
      <c r="P169" s="179"/>
      <c r="Q169" s="179">
        <f t="shared" si="47"/>
        <v>0</v>
      </c>
      <c r="R169" s="179">
        <f t="shared" si="48"/>
        <v>1</v>
      </c>
      <c r="S169" s="183"/>
      <c r="T169" s="179"/>
      <c r="U169" s="179"/>
      <c r="V169" s="179"/>
      <c r="W169" s="179"/>
      <c r="X169" s="182" t="e">
        <f t="shared" si="49"/>
        <v>#N/A</v>
      </c>
      <c r="Z169" s="186" t="str">
        <f t="shared" si="50"/>
        <v/>
      </c>
    </row>
    <row r="170" spans="1:26" s="186" customFormat="1">
      <c r="A170" s="179">
        <v>157</v>
      </c>
      <c r="B170" s="179"/>
      <c r="C170" s="179"/>
      <c r="D170" s="179"/>
      <c r="E170" s="180" t="e">
        <f t="shared" si="41"/>
        <v>#N/A</v>
      </c>
      <c r="F170" s="181" t="s">
        <v>1083</v>
      </c>
      <c r="G170" s="181" t="s">
        <v>1084</v>
      </c>
      <c r="H170" s="181" t="e">
        <f t="shared" si="42"/>
        <v>#N/A</v>
      </c>
      <c r="I170" s="181"/>
      <c r="J170" s="181" t="e">
        <f t="shared" si="43"/>
        <v>#N/A</v>
      </c>
      <c r="K170" s="179"/>
      <c r="L170" s="179" t="e">
        <f t="shared" si="44"/>
        <v>#N/A</v>
      </c>
      <c r="M170" s="179" t="e">
        <f t="shared" si="45"/>
        <v>#N/A</v>
      </c>
      <c r="N170" s="182" t="e">
        <f t="shared" si="46"/>
        <v>#N/A</v>
      </c>
      <c r="O170" s="179"/>
      <c r="P170" s="179"/>
      <c r="Q170" s="179">
        <f t="shared" si="47"/>
        <v>0</v>
      </c>
      <c r="R170" s="179">
        <f t="shared" si="48"/>
        <v>1</v>
      </c>
      <c r="S170" s="183"/>
      <c r="T170" s="179"/>
      <c r="U170" s="179"/>
      <c r="V170" s="179"/>
      <c r="W170" s="179"/>
      <c r="X170" s="182" t="e">
        <f t="shared" si="49"/>
        <v>#N/A</v>
      </c>
      <c r="Z170" s="186" t="str">
        <f t="shared" si="50"/>
        <v/>
      </c>
    </row>
    <row r="171" spans="1:26" s="186" customFormat="1">
      <c r="A171" s="179">
        <v>158</v>
      </c>
      <c r="B171" s="179"/>
      <c r="C171" s="179"/>
      <c r="D171" s="179"/>
      <c r="E171" s="180" t="e">
        <f t="shared" si="41"/>
        <v>#N/A</v>
      </c>
      <c r="F171" s="181" t="s">
        <v>1083</v>
      </c>
      <c r="G171" s="181" t="s">
        <v>1084</v>
      </c>
      <c r="H171" s="181" t="e">
        <f t="shared" si="42"/>
        <v>#N/A</v>
      </c>
      <c r="I171" s="181"/>
      <c r="J171" s="181" t="e">
        <f t="shared" si="43"/>
        <v>#N/A</v>
      </c>
      <c r="K171" s="179"/>
      <c r="L171" s="179" t="e">
        <f t="shared" si="44"/>
        <v>#N/A</v>
      </c>
      <c r="M171" s="179" t="e">
        <f t="shared" si="45"/>
        <v>#N/A</v>
      </c>
      <c r="N171" s="182" t="e">
        <f t="shared" si="46"/>
        <v>#N/A</v>
      </c>
      <c r="O171" s="179"/>
      <c r="P171" s="179"/>
      <c r="Q171" s="179">
        <f t="shared" si="47"/>
        <v>0</v>
      </c>
      <c r="R171" s="179">
        <f t="shared" si="48"/>
        <v>1</v>
      </c>
      <c r="S171" s="183"/>
      <c r="T171" s="179"/>
      <c r="U171" s="179"/>
      <c r="V171" s="179"/>
      <c r="W171" s="179"/>
      <c r="X171" s="182" t="e">
        <f t="shared" si="49"/>
        <v>#N/A</v>
      </c>
      <c r="Z171" s="186" t="str">
        <f t="shared" si="50"/>
        <v/>
      </c>
    </row>
    <row r="172" spans="1:26" s="186" customFormat="1">
      <c r="A172" s="179">
        <v>159</v>
      </c>
      <c r="B172" s="179"/>
      <c r="C172" s="179"/>
      <c r="D172" s="179"/>
      <c r="E172" s="180" t="e">
        <f t="shared" si="41"/>
        <v>#N/A</v>
      </c>
      <c r="F172" s="181" t="s">
        <v>1083</v>
      </c>
      <c r="G172" s="181" t="s">
        <v>1084</v>
      </c>
      <c r="H172" s="181" t="e">
        <f t="shared" si="42"/>
        <v>#N/A</v>
      </c>
      <c r="I172" s="181"/>
      <c r="J172" s="181" t="e">
        <f t="shared" si="43"/>
        <v>#N/A</v>
      </c>
      <c r="K172" s="179"/>
      <c r="L172" s="179" t="e">
        <f t="shared" si="44"/>
        <v>#N/A</v>
      </c>
      <c r="M172" s="179" t="e">
        <f t="shared" si="45"/>
        <v>#N/A</v>
      </c>
      <c r="N172" s="182" t="e">
        <f t="shared" si="46"/>
        <v>#N/A</v>
      </c>
      <c r="O172" s="179"/>
      <c r="P172" s="179"/>
      <c r="Q172" s="179">
        <f t="shared" si="47"/>
        <v>0</v>
      </c>
      <c r="R172" s="179">
        <f t="shared" si="48"/>
        <v>1</v>
      </c>
      <c r="S172" s="183"/>
      <c r="T172" s="179"/>
      <c r="U172" s="179"/>
      <c r="V172" s="179"/>
      <c r="W172" s="179"/>
      <c r="X172" s="182" t="e">
        <f t="shared" si="49"/>
        <v>#N/A</v>
      </c>
      <c r="Z172" s="186" t="str">
        <f t="shared" si="50"/>
        <v/>
      </c>
    </row>
    <row r="173" spans="1:26" s="186" customFormat="1">
      <c r="A173" s="179">
        <v>160</v>
      </c>
      <c r="B173" s="179"/>
      <c r="C173" s="179"/>
      <c r="D173" s="179"/>
      <c r="E173" s="180" t="e">
        <f t="shared" si="41"/>
        <v>#N/A</v>
      </c>
      <c r="F173" s="181" t="s">
        <v>1083</v>
      </c>
      <c r="G173" s="181" t="s">
        <v>1084</v>
      </c>
      <c r="H173" s="181" t="e">
        <f t="shared" si="42"/>
        <v>#N/A</v>
      </c>
      <c r="I173" s="181"/>
      <c r="J173" s="181" t="e">
        <f t="shared" si="43"/>
        <v>#N/A</v>
      </c>
      <c r="K173" s="179"/>
      <c r="L173" s="179" t="e">
        <f t="shared" si="44"/>
        <v>#N/A</v>
      </c>
      <c r="M173" s="179" t="e">
        <f t="shared" si="45"/>
        <v>#N/A</v>
      </c>
      <c r="N173" s="182" t="e">
        <f t="shared" si="46"/>
        <v>#N/A</v>
      </c>
      <c r="O173" s="179"/>
      <c r="P173" s="179"/>
      <c r="Q173" s="179">
        <f t="shared" si="47"/>
        <v>0</v>
      </c>
      <c r="R173" s="179">
        <f t="shared" si="48"/>
        <v>1</v>
      </c>
      <c r="S173" s="183"/>
      <c r="T173" s="179"/>
      <c r="U173" s="179"/>
      <c r="V173" s="179"/>
      <c r="W173" s="179"/>
      <c r="X173" s="182" t="e">
        <f t="shared" si="49"/>
        <v>#N/A</v>
      </c>
      <c r="Z173" s="186" t="str">
        <f t="shared" si="50"/>
        <v/>
      </c>
    </row>
    <row r="174" spans="1:26" s="186" customFormat="1">
      <c r="A174" s="179">
        <v>161</v>
      </c>
      <c r="B174" s="179"/>
      <c r="C174" s="179"/>
      <c r="D174" s="179"/>
      <c r="E174" s="180" t="e">
        <f t="shared" si="41"/>
        <v>#N/A</v>
      </c>
      <c r="F174" s="181" t="s">
        <v>1083</v>
      </c>
      <c r="G174" s="181" t="s">
        <v>1084</v>
      </c>
      <c r="H174" s="181" t="e">
        <f t="shared" si="42"/>
        <v>#N/A</v>
      </c>
      <c r="I174" s="181"/>
      <c r="J174" s="181" t="e">
        <f t="shared" si="43"/>
        <v>#N/A</v>
      </c>
      <c r="K174" s="179"/>
      <c r="L174" s="179" t="e">
        <f t="shared" si="44"/>
        <v>#N/A</v>
      </c>
      <c r="M174" s="179" t="e">
        <f t="shared" si="45"/>
        <v>#N/A</v>
      </c>
      <c r="N174" s="182" t="e">
        <f t="shared" si="46"/>
        <v>#N/A</v>
      </c>
      <c r="O174" s="179"/>
      <c r="P174" s="179"/>
      <c r="Q174" s="179">
        <f t="shared" si="47"/>
        <v>0</v>
      </c>
      <c r="R174" s="179">
        <f t="shared" si="48"/>
        <v>1</v>
      </c>
      <c r="S174" s="183"/>
      <c r="T174" s="179"/>
      <c r="U174" s="179"/>
      <c r="V174" s="179"/>
      <c r="W174" s="179"/>
      <c r="X174" s="182" t="e">
        <f t="shared" si="49"/>
        <v>#N/A</v>
      </c>
      <c r="Z174" s="186" t="str">
        <f t="shared" si="50"/>
        <v/>
      </c>
    </row>
    <row r="175" spans="1:26" s="186" customFormat="1">
      <c r="A175" s="179">
        <v>162</v>
      </c>
      <c r="B175" s="179"/>
      <c r="C175" s="179"/>
      <c r="D175" s="179"/>
      <c r="E175" s="180" t="e">
        <f t="shared" si="41"/>
        <v>#N/A</v>
      </c>
      <c r="F175" s="181" t="s">
        <v>1083</v>
      </c>
      <c r="G175" s="181" t="s">
        <v>1084</v>
      </c>
      <c r="H175" s="181" t="e">
        <f t="shared" si="42"/>
        <v>#N/A</v>
      </c>
      <c r="I175" s="181"/>
      <c r="J175" s="181" t="e">
        <f t="shared" si="43"/>
        <v>#N/A</v>
      </c>
      <c r="K175" s="179"/>
      <c r="L175" s="179" t="e">
        <f t="shared" si="44"/>
        <v>#N/A</v>
      </c>
      <c r="M175" s="179" t="e">
        <f t="shared" si="45"/>
        <v>#N/A</v>
      </c>
      <c r="N175" s="182" t="e">
        <f t="shared" si="46"/>
        <v>#N/A</v>
      </c>
      <c r="O175" s="179"/>
      <c r="P175" s="179"/>
      <c r="Q175" s="179">
        <f t="shared" si="47"/>
        <v>0</v>
      </c>
      <c r="R175" s="179">
        <f t="shared" si="48"/>
        <v>1</v>
      </c>
      <c r="S175" s="183"/>
      <c r="T175" s="179"/>
      <c r="U175" s="179"/>
      <c r="V175" s="179"/>
      <c r="W175" s="179"/>
      <c r="X175" s="182" t="e">
        <f t="shared" si="49"/>
        <v>#N/A</v>
      </c>
      <c r="Z175" s="186" t="str">
        <f t="shared" si="50"/>
        <v/>
      </c>
    </row>
    <row r="176" spans="1:26" s="186" customFormat="1">
      <c r="A176" s="179">
        <v>163</v>
      </c>
      <c r="B176" s="179"/>
      <c r="C176" s="179"/>
      <c r="D176" s="179"/>
      <c r="E176" s="180" t="e">
        <f t="shared" si="41"/>
        <v>#N/A</v>
      </c>
      <c r="F176" s="181" t="s">
        <v>1083</v>
      </c>
      <c r="G176" s="181" t="s">
        <v>1084</v>
      </c>
      <c r="H176" s="181" t="e">
        <f t="shared" si="42"/>
        <v>#N/A</v>
      </c>
      <c r="I176" s="181"/>
      <c r="J176" s="181" t="e">
        <f t="shared" si="43"/>
        <v>#N/A</v>
      </c>
      <c r="K176" s="179"/>
      <c r="L176" s="179" t="e">
        <f t="shared" si="44"/>
        <v>#N/A</v>
      </c>
      <c r="M176" s="179" t="e">
        <f t="shared" si="45"/>
        <v>#N/A</v>
      </c>
      <c r="N176" s="182" t="e">
        <f t="shared" si="46"/>
        <v>#N/A</v>
      </c>
      <c r="O176" s="179"/>
      <c r="P176" s="179"/>
      <c r="Q176" s="179">
        <f t="shared" si="47"/>
        <v>0</v>
      </c>
      <c r="R176" s="179">
        <f t="shared" si="48"/>
        <v>1</v>
      </c>
      <c r="S176" s="183"/>
      <c r="T176" s="179"/>
      <c r="U176" s="179"/>
      <c r="V176" s="179"/>
      <c r="W176" s="179"/>
      <c r="X176" s="182" t="e">
        <f t="shared" si="49"/>
        <v>#N/A</v>
      </c>
      <c r="Z176" s="186" t="str">
        <f t="shared" si="50"/>
        <v/>
      </c>
    </row>
    <row r="177" spans="1:26" s="186" customFormat="1">
      <c r="A177" s="179">
        <v>164</v>
      </c>
      <c r="B177" s="179"/>
      <c r="C177" s="179"/>
      <c r="D177" s="179"/>
      <c r="E177" s="180" t="e">
        <f t="shared" si="41"/>
        <v>#N/A</v>
      </c>
      <c r="F177" s="181" t="s">
        <v>1083</v>
      </c>
      <c r="G177" s="181" t="s">
        <v>1084</v>
      </c>
      <c r="H177" s="181" t="e">
        <f t="shared" si="42"/>
        <v>#N/A</v>
      </c>
      <c r="I177" s="181"/>
      <c r="J177" s="181" t="e">
        <f t="shared" si="43"/>
        <v>#N/A</v>
      </c>
      <c r="K177" s="179"/>
      <c r="L177" s="179" t="e">
        <f t="shared" si="44"/>
        <v>#N/A</v>
      </c>
      <c r="M177" s="179" t="e">
        <f t="shared" si="45"/>
        <v>#N/A</v>
      </c>
      <c r="N177" s="182" t="e">
        <f t="shared" si="46"/>
        <v>#N/A</v>
      </c>
      <c r="O177" s="179"/>
      <c r="P177" s="179"/>
      <c r="Q177" s="179">
        <f t="shared" si="47"/>
        <v>0</v>
      </c>
      <c r="R177" s="179">
        <f t="shared" si="48"/>
        <v>1</v>
      </c>
      <c r="S177" s="183"/>
      <c r="T177" s="179"/>
      <c r="U177" s="179"/>
      <c r="V177" s="179"/>
      <c r="W177" s="179"/>
      <c r="X177" s="182" t="e">
        <f t="shared" si="49"/>
        <v>#N/A</v>
      </c>
      <c r="Z177" s="186" t="str">
        <f t="shared" si="50"/>
        <v/>
      </c>
    </row>
    <row r="178" spans="1:26" s="186" customFormat="1">
      <c r="A178" s="179">
        <v>165</v>
      </c>
      <c r="B178" s="179"/>
      <c r="C178" s="179"/>
      <c r="D178" s="179"/>
      <c r="E178" s="180" t="e">
        <f t="shared" ref="E178:E211" si="51">VLOOKUP(D178,TUANBV,2,0)</f>
        <v>#N/A</v>
      </c>
      <c r="F178" s="181" t="s">
        <v>1083</v>
      </c>
      <c r="G178" s="181" t="s">
        <v>1084</v>
      </c>
      <c r="H178" s="181" t="e">
        <f t="shared" ref="H178:H211" si="52">VLOOKUP(D178,TUANBV,5,0)&amp;"/PYC"</f>
        <v>#N/A</v>
      </c>
      <c r="I178" s="181"/>
      <c r="J178" s="181" t="e">
        <f t="shared" ref="J178:J211" si="53">VLOOKUP(D178,TUANBV,6,0)&amp;"/"&amp;Y178</f>
        <v>#N/A</v>
      </c>
      <c r="K178" s="179"/>
      <c r="L178" s="179" t="e">
        <f t="shared" ref="L178:L211" si="54">DAY(N178)</f>
        <v>#N/A</v>
      </c>
      <c r="M178" s="179" t="e">
        <f t="shared" ref="M178:M211" si="55">MONTH(N178)</f>
        <v>#N/A</v>
      </c>
      <c r="N178" s="182" t="e">
        <f t="shared" ref="N178:N211" si="56">VLOOKUP(D178,TUANBV,9,0)</f>
        <v>#N/A</v>
      </c>
      <c r="O178" s="179"/>
      <c r="P178" s="179"/>
      <c r="Q178" s="179">
        <f t="shared" ref="Q178:Q211" si="57">DAY(S178)</f>
        <v>0</v>
      </c>
      <c r="R178" s="179">
        <f t="shared" ref="R178:R211" si="58">MONTH(S178)</f>
        <v>1</v>
      </c>
      <c r="S178" s="183"/>
      <c r="T178" s="179"/>
      <c r="U178" s="179"/>
      <c r="V178" s="179"/>
      <c r="W178" s="179"/>
      <c r="X178" s="182" t="e">
        <f t="shared" ref="X178:X211" si="59">VLOOKUP(D178,TUANBV,14,0)</f>
        <v>#N/A</v>
      </c>
      <c r="Z178" s="186" t="str">
        <f t="shared" si="50"/>
        <v/>
      </c>
    </row>
    <row r="179" spans="1:26" s="186" customFormat="1">
      <c r="A179" s="179">
        <v>166</v>
      </c>
      <c r="B179" s="179"/>
      <c r="C179" s="179"/>
      <c r="D179" s="179"/>
      <c r="E179" s="180" t="e">
        <f t="shared" si="51"/>
        <v>#N/A</v>
      </c>
      <c r="F179" s="181" t="s">
        <v>1083</v>
      </c>
      <c r="G179" s="181" t="s">
        <v>1084</v>
      </c>
      <c r="H179" s="181" t="e">
        <f t="shared" si="52"/>
        <v>#N/A</v>
      </c>
      <c r="I179" s="181"/>
      <c r="J179" s="181" t="e">
        <f t="shared" si="53"/>
        <v>#N/A</v>
      </c>
      <c r="K179" s="179"/>
      <c r="L179" s="179" t="e">
        <f t="shared" si="54"/>
        <v>#N/A</v>
      </c>
      <c r="M179" s="179" t="e">
        <f t="shared" si="55"/>
        <v>#N/A</v>
      </c>
      <c r="N179" s="182" t="e">
        <f t="shared" si="56"/>
        <v>#N/A</v>
      </c>
      <c r="O179" s="179"/>
      <c r="P179" s="179"/>
      <c r="Q179" s="179">
        <f t="shared" si="57"/>
        <v>0</v>
      </c>
      <c r="R179" s="179">
        <f t="shared" si="58"/>
        <v>1</v>
      </c>
      <c r="S179" s="183"/>
      <c r="T179" s="179"/>
      <c r="U179" s="179"/>
      <c r="V179" s="179"/>
      <c r="W179" s="179"/>
      <c r="X179" s="182" t="e">
        <f t="shared" si="59"/>
        <v>#N/A</v>
      </c>
      <c r="Z179" s="186" t="str">
        <f t="shared" si="50"/>
        <v/>
      </c>
    </row>
    <row r="180" spans="1:26" s="186" customFormat="1">
      <c r="A180" s="179">
        <v>167</v>
      </c>
      <c r="B180" s="179"/>
      <c r="C180" s="179"/>
      <c r="D180" s="179"/>
      <c r="E180" s="180" t="e">
        <f t="shared" si="51"/>
        <v>#N/A</v>
      </c>
      <c r="F180" s="181" t="s">
        <v>1083</v>
      </c>
      <c r="G180" s="181" t="s">
        <v>1084</v>
      </c>
      <c r="H180" s="181" t="e">
        <f t="shared" si="52"/>
        <v>#N/A</v>
      </c>
      <c r="I180" s="181"/>
      <c r="J180" s="181" t="e">
        <f t="shared" si="53"/>
        <v>#N/A</v>
      </c>
      <c r="K180" s="179"/>
      <c r="L180" s="179" t="e">
        <f t="shared" si="54"/>
        <v>#N/A</v>
      </c>
      <c r="M180" s="179" t="e">
        <f t="shared" si="55"/>
        <v>#N/A</v>
      </c>
      <c r="N180" s="182" t="e">
        <f t="shared" si="56"/>
        <v>#N/A</v>
      </c>
      <c r="O180" s="179"/>
      <c r="P180" s="179"/>
      <c r="Q180" s="179">
        <f t="shared" si="57"/>
        <v>0</v>
      </c>
      <c r="R180" s="179">
        <f t="shared" si="58"/>
        <v>1</v>
      </c>
      <c r="S180" s="183"/>
      <c r="T180" s="179"/>
      <c r="U180" s="179"/>
      <c r="V180" s="179"/>
      <c r="W180" s="179"/>
      <c r="X180" s="182" t="e">
        <f t="shared" si="59"/>
        <v>#N/A</v>
      </c>
      <c r="Z180" s="186" t="str">
        <f t="shared" si="50"/>
        <v/>
      </c>
    </row>
    <row r="181" spans="1:26" s="186" customFormat="1">
      <c r="A181" s="179">
        <v>168</v>
      </c>
      <c r="B181" s="179"/>
      <c r="C181" s="179"/>
      <c r="D181" s="179"/>
      <c r="E181" s="180" t="e">
        <f t="shared" si="51"/>
        <v>#N/A</v>
      </c>
      <c r="F181" s="181" t="s">
        <v>1083</v>
      </c>
      <c r="G181" s="181" t="s">
        <v>1084</v>
      </c>
      <c r="H181" s="181" t="e">
        <f t="shared" si="52"/>
        <v>#N/A</v>
      </c>
      <c r="I181" s="181"/>
      <c r="J181" s="181" t="e">
        <f t="shared" si="53"/>
        <v>#N/A</v>
      </c>
      <c r="K181" s="179"/>
      <c r="L181" s="179" t="e">
        <f t="shared" si="54"/>
        <v>#N/A</v>
      </c>
      <c r="M181" s="179" t="e">
        <f t="shared" si="55"/>
        <v>#N/A</v>
      </c>
      <c r="N181" s="182" t="e">
        <f t="shared" si="56"/>
        <v>#N/A</v>
      </c>
      <c r="O181" s="179"/>
      <c r="P181" s="179"/>
      <c r="Q181" s="179">
        <f t="shared" si="57"/>
        <v>0</v>
      </c>
      <c r="R181" s="179">
        <f t="shared" si="58"/>
        <v>1</v>
      </c>
      <c r="S181" s="183"/>
      <c r="T181" s="179"/>
      <c r="U181" s="179"/>
      <c r="V181" s="179"/>
      <c r="W181" s="179"/>
      <c r="X181" s="182" t="e">
        <f t="shared" si="59"/>
        <v>#N/A</v>
      </c>
      <c r="Z181" s="186" t="str">
        <f t="shared" si="50"/>
        <v/>
      </c>
    </row>
    <row r="182" spans="1:26" s="186" customFormat="1">
      <c r="A182" s="179">
        <v>169</v>
      </c>
      <c r="B182" s="179"/>
      <c r="C182" s="179"/>
      <c r="D182" s="179"/>
      <c r="E182" s="180" t="e">
        <f t="shared" si="51"/>
        <v>#N/A</v>
      </c>
      <c r="F182" s="181" t="s">
        <v>1083</v>
      </c>
      <c r="G182" s="181" t="s">
        <v>1084</v>
      </c>
      <c r="H182" s="181" t="e">
        <f t="shared" si="52"/>
        <v>#N/A</v>
      </c>
      <c r="I182" s="181"/>
      <c r="J182" s="181" t="e">
        <f t="shared" si="53"/>
        <v>#N/A</v>
      </c>
      <c r="K182" s="179"/>
      <c r="L182" s="179" t="e">
        <f t="shared" si="54"/>
        <v>#N/A</v>
      </c>
      <c r="M182" s="179" t="e">
        <f t="shared" si="55"/>
        <v>#N/A</v>
      </c>
      <c r="N182" s="182" t="e">
        <f t="shared" si="56"/>
        <v>#N/A</v>
      </c>
      <c r="O182" s="179"/>
      <c r="P182" s="179"/>
      <c r="Q182" s="179">
        <f t="shared" si="57"/>
        <v>0</v>
      </c>
      <c r="R182" s="179">
        <f t="shared" si="58"/>
        <v>1</v>
      </c>
      <c r="S182" s="183"/>
      <c r="T182" s="179"/>
      <c r="U182" s="179"/>
      <c r="V182" s="179"/>
      <c r="W182" s="179"/>
      <c r="X182" s="182" t="e">
        <f t="shared" si="59"/>
        <v>#N/A</v>
      </c>
      <c r="Z182" s="186" t="str">
        <f t="shared" si="50"/>
        <v/>
      </c>
    </row>
    <row r="183" spans="1:26" s="186" customFormat="1">
      <c r="A183" s="179">
        <v>170</v>
      </c>
      <c r="B183" s="179"/>
      <c r="C183" s="179"/>
      <c r="D183" s="179"/>
      <c r="E183" s="180" t="e">
        <f t="shared" si="51"/>
        <v>#N/A</v>
      </c>
      <c r="F183" s="181" t="s">
        <v>1083</v>
      </c>
      <c r="G183" s="181" t="s">
        <v>1084</v>
      </c>
      <c r="H183" s="181" t="e">
        <f t="shared" si="52"/>
        <v>#N/A</v>
      </c>
      <c r="I183" s="181"/>
      <c r="J183" s="181" t="e">
        <f t="shared" si="53"/>
        <v>#N/A</v>
      </c>
      <c r="K183" s="179"/>
      <c r="L183" s="179" t="e">
        <f t="shared" si="54"/>
        <v>#N/A</v>
      </c>
      <c r="M183" s="179" t="e">
        <f t="shared" si="55"/>
        <v>#N/A</v>
      </c>
      <c r="N183" s="182" t="e">
        <f t="shared" si="56"/>
        <v>#N/A</v>
      </c>
      <c r="O183" s="179"/>
      <c r="P183" s="179"/>
      <c r="Q183" s="179">
        <f t="shared" si="57"/>
        <v>0</v>
      </c>
      <c r="R183" s="179">
        <f t="shared" si="58"/>
        <v>1</v>
      </c>
      <c r="S183" s="183"/>
      <c r="T183" s="179"/>
      <c r="U183" s="179"/>
      <c r="V183" s="179"/>
      <c r="W183" s="179"/>
      <c r="X183" s="182" t="e">
        <f t="shared" si="59"/>
        <v>#N/A</v>
      </c>
      <c r="Z183" s="186" t="str">
        <f t="shared" si="50"/>
        <v/>
      </c>
    </row>
    <row r="184" spans="1:26" s="186" customFormat="1">
      <c r="A184" s="179">
        <v>171</v>
      </c>
      <c r="B184" s="179"/>
      <c r="C184" s="179"/>
      <c r="D184" s="179"/>
      <c r="E184" s="180" t="e">
        <f t="shared" si="51"/>
        <v>#N/A</v>
      </c>
      <c r="F184" s="181" t="s">
        <v>1083</v>
      </c>
      <c r="G184" s="181" t="s">
        <v>1084</v>
      </c>
      <c r="H184" s="181" t="e">
        <f t="shared" si="52"/>
        <v>#N/A</v>
      </c>
      <c r="I184" s="181"/>
      <c r="J184" s="181" t="e">
        <f t="shared" si="53"/>
        <v>#N/A</v>
      </c>
      <c r="K184" s="179"/>
      <c r="L184" s="179" t="e">
        <f t="shared" si="54"/>
        <v>#N/A</v>
      </c>
      <c r="M184" s="179" t="e">
        <f t="shared" si="55"/>
        <v>#N/A</v>
      </c>
      <c r="N184" s="182" t="e">
        <f t="shared" si="56"/>
        <v>#N/A</v>
      </c>
      <c r="O184" s="179"/>
      <c r="P184" s="179"/>
      <c r="Q184" s="179">
        <f t="shared" si="57"/>
        <v>0</v>
      </c>
      <c r="R184" s="179">
        <f t="shared" si="58"/>
        <v>1</v>
      </c>
      <c r="S184" s="183"/>
      <c r="T184" s="179"/>
      <c r="U184" s="179"/>
      <c r="V184" s="179"/>
      <c r="W184" s="179"/>
      <c r="X184" s="182" t="e">
        <f t="shared" si="59"/>
        <v>#N/A</v>
      </c>
      <c r="Z184" s="186" t="str">
        <f t="shared" si="50"/>
        <v/>
      </c>
    </row>
    <row r="185" spans="1:26" s="186" customFormat="1">
      <c r="A185" s="179">
        <v>172</v>
      </c>
      <c r="B185" s="179"/>
      <c r="C185" s="179"/>
      <c r="D185" s="179"/>
      <c r="E185" s="180" t="e">
        <f t="shared" si="51"/>
        <v>#N/A</v>
      </c>
      <c r="F185" s="181" t="s">
        <v>1083</v>
      </c>
      <c r="G185" s="181" t="s">
        <v>1084</v>
      </c>
      <c r="H185" s="181" t="e">
        <f t="shared" si="52"/>
        <v>#N/A</v>
      </c>
      <c r="I185" s="181"/>
      <c r="J185" s="181" t="e">
        <f t="shared" si="53"/>
        <v>#N/A</v>
      </c>
      <c r="K185" s="179"/>
      <c r="L185" s="179" t="e">
        <f t="shared" si="54"/>
        <v>#N/A</v>
      </c>
      <c r="M185" s="179" t="e">
        <f t="shared" si="55"/>
        <v>#N/A</v>
      </c>
      <c r="N185" s="182" t="e">
        <f t="shared" si="56"/>
        <v>#N/A</v>
      </c>
      <c r="O185" s="179"/>
      <c r="P185" s="179"/>
      <c r="Q185" s="179">
        <f t="shared" si="57"/>
        <v>0</v>
      </c>
      <c r="R185" s="179">
        <f t="shared" si="58"/>
        <v>1</v>
      </c>
      <c r="S185" s="183"/>
      <c r="T185" s="179"/>
      <c r="U185" s="179"/>
      <c r="V185" s="179"/>
      <c r="W185" s="179"/>
      <c r="X185" s="182" t="e">
        <f t="shared" si="59"/>
        <v>#N/A</v>
      </c>
      <c r="Z185" s="186" t="str">
        <f t="shared" si="50"/>
        <v/>
      </c>
    </row>
    <row r="186" spans="1:26" s="186" customFormat="1">
      <c r="A186" s="179">
        <v>173</v>
      </c>
      <c r="B186" s="179"/>
      <c r="C186" s="179"/>
      <c r="D186" s="179"/>
      <c r="E186" s="180" t="e">
        <f t="shared" si="51"/>
        <v>#N/A</v>
      </c>
      <c r="F186" s="181" t="s">
        <v>1083</v>
      </c>
      <c r="G186" s="181" t="s">
        <v>1084</v>
      </c>
      <c r="H186" s="181" t="e">
        <f t="shared" si="52"/>
        <v>#N/A</v>
      </c>
      <c r="I186" s="181"/>
      <c r="J186" s="181" t="e">
        <f t="shared" si="53"/>
        <v>#N/A</v>
      </c>
      <c r="K186" s="179"/>
      <c r="L186" s="179" t="e">
        <f t="shared" si="54"/>
        <v>#N/A</v>
      </c>
      <c r="M186" s="179" t="e">
        <f t="shared" si="55"/>
        <v>#N/A</v>
      </c>
      <c r="N186" s="182" t="e">
        <f t="shared" si="56"/>
        <v>#N/A</v>
      </c>
      <c r="O186" s="179"/>
      <c r="P186" s="179"/>
      <c r="Q186" s="179">
        <f t="shared" si="57"/>
        <v>0</v>
      </c>
      <c r="R186" s="179">
        <f t="shared" si="58"/>
        <v>1</v>
      </c>
      <c r="S186" s="183"/>
      <c r="T186" s="179"/>
      <c r="U186" s="179"/>
      <c r="V186" s="179"/>
      <c r="W186" s="179"/>
      <c r="X186" s="182" t="e">
        <f t="shared" si="59"/>
        <v>#N/A</v>
      </c>
      <c r="Z186" s="186" t="str">
        <f t="shared" si="50"/>
        <v/>
      </c>
    </row>
    <row r="187" spans="1:26" s="186" customFormat="1">
      <c r="A187" s="179">
        <v>174</v>
      </c>
      <c r="B187" s="179"/>
      <c r="C187" s="179"/>
      <c r="D187" s="179"/>
      <c r="E187" s="180" t="e">
        <f t="shared" si="51"/>
        <v>#N/A</v>
      </c>
      <c r="F187" s="181" t="s">
        <v>1083</v>
      </c>
      <c r="G187" s="181" t="s">
        <v>1084</v>
      </c>
      <c r="H187" s="181" t="e">
        <f t="shared" si="52"/>
        <v>#N/A</v>
      </c>
      <c r="I187" s="181"/>
      <c r="J187" s="181" t="e">
        <f t="shared" si="53"/>
        <v>#N/A</v>
      </c>
      <c r="K187" s="179"/>
      <c r="L187" s="179" t="e">
        <f t="shared" si="54"/>
        <v>#N/A</v>
      </c>
      <c r="M187" s="179" t="e">
        <f t="shared" si="55"/>
        <v>#N/A</v>
      </c>
      <c r="N187" s="182" t="e">
        <f t="shared" si="56"/>
        <v>#N/A</v>
      </c>
      <c r="O187" s="179"/>
      <c r="P187" s="179"/>
      <c r="Q187" s="179">
        <f t="shared" si="57"/>
        <v>0</v>
      </c>
      <c r="R187" s="179">
        <f t="shared" si="58"/>
        <v>1</v>
      </c>
      <c r="S187" s="183"/>
      <c r="T187" s="179"/>
      <c r="U187" s="179"/>
      <c r="V187" s="179"/>
      <c r="W187" s="179"/>
      <c r="X187" s="182" t="e">
        <f t="shared" si="59"/>
        <v>#N/A</v>
      </c>
      <c r="Z187" s="186" t="str">
        <f t="shared" si="50"/>
        <v/>
      </c>
    </row>
    <row r="188" spans="1:26" s="186" customFormat="1">
      <c r="A188" s="179">
        <v>175</v>
      </c>
      <c r="B188" s="179"/>
      <c r="C188" s="179"/>
      <c r="D188" s="179"/>
      <c r="E188" s="180" t="e">
        <f t="shared" si="51"/>
        <v>#N/A</v>
      </c>
      <c r="F188" s="181" t="s">
        <v>1083</v>
      </c>
      <c r="G188" s="181" t="s">
        <v>1084</v>
      </c>
      <c r="H188" s="181" t="e">
        <f t="shared" si="52"/>
        <v>#N/A</v>
      </c>
      <c r="I188" s="181"/>
      <c r="J188" s="181" t="e">
        <f t="shared" si="53"/>
        <v>#N/A</v>
      </c>
      <c r="K188" s="179"/>
      <c r="L188" s="179" t="e">
        <f t="shared" si="54"/>
        <v>#N/A</v>
      </c>
      <c r="M188" s="179" t="e">
        <f t="shared" si="55"/>
        <v>#N/A</v>
      </c>
      <c r="N188" s="182" t="e">
        <f t="shared" si="56"/>
        <v>#N/A</v>
      </c>
      <c r="O188" s="179"/>
      <c r="P188" s="179"/>
      <c r="Q188" s="179">
        <f t="shared" si="57"/>
        <v>0</v>
      </c>
      <c r="R188" s="179">
        <f t="shared" si="58"/>
        <v>1</v>
      </c>
      <c r="S188" s="183"/>
      <c r="T188" s="179"/>
      <c r="U188" s="179"/>
      <c r="V188" s="179"/>
      <c r="W188" s="179"/>
      <c r="X188" s="182" t="e">
        <f t="shared" si="59"/>
        <v>#N/A</v>
      </c>
      <c r="Z188" s="186" t="str">
        <f t="shared" si="50"/>
        <v/>
      </c>
    </row>
    <row r="189" spans="1:26" s="186" customFormat="1">
      <c r="A189" s="179">
        <v>176</v>
      </c>
      <c r="B189" s="179"/>
      <c r="C189" s="179"/>
      <c r="D189" s="179"/>
      <c r="E189" s="180" t="e">
        <f t="shared" si="51"/>
        <v>#N/A</v>
      </c>
      <c r="F189" s="181" t="s">
        <v>1083</v>
      </c>
      <c r="G189" s="181" t="s">
        <v>1084</v>
      </c>
      <c r="H189" s="181" t="e">
        <f t="shared" si="52"/>
        <v>#N/A</v>
      </c>
      <c r="I189" s="181"/>
      <c r="J189" s="181" t="e">
        <f t="shared" si="53"/>
        <v>#N/A</v>
      </c>
      <c r="K189" s="179"/>
      <c r="L189" s="179" t="e">
        <f t="shared" si="54"/>
        <v>#N/A</v>
      </c>
      <c r="M189" s="179" t="e">
        <f t="shared" si="55"/>
        <v>#N/A</v>
      </c>
      <c r="N189" s="182" t="e">
        <f t="shared" si="56"/>
        <v>#N/A</v>
      </c>
      <c r="O189" s="179"/>
      <c r="P189" s="179"/>
      <c r="Q189" s="179">
        <f t="shared" si="57"/>
        <v>0</v>
      </c>
      <c r="R189" s="179">
        <f t="shared" si="58"/>
        <v>1</v>
      </c>
      <c r="S189" s="183"/>
      <c r="T189" s="179"/>
      <c r="U189" s="179"/>
      <c r="V189" s="179"/>
      <c r="W189" s="179"/>
      <c r="X189" s="182" t="e">
        <f t="shared" si="59"/>
        <v>#N/A</v>
      </c>
      <c r="Z189" s="186" t="str">
        <f t="shared" si="50"/>
        <v/>
      </c>
    </row>
    <row r="190" spans="1:26" s="186" customFormat="1">
      <c r="A190" s="179">
        <v>177</v>
      </c>
      <c r="B190" s="179"/>
      <c r="C190" s="179"/>
      <c r="D190" s="179"/>
      <c r="E190" s="180" t="e">
        <f t="shared" si="51"/>
        <v>#N/A</v>
      </c>
      <c r="F190" s="181" t="s">
        <v>1083</v>
      </c>
      <c r="G190" s="181" t="s">
        <v>1084</v>
      </c>
      <c r="H190" s="181" t="e">
        <f t="shared" si="52"/>
        <v>#N/A</v>
      </c>
      <c r="I190" s="181"/>
      <c r="J190" s="181" t="e">
        <f t="shared" si="53"/>
        <v>#N/A</v>
      </c>
      <c r="K190" s="179"/>
      <c r="L190" s="179" t="e">
        <f t="shared" si="54"/>
        <v>#N/A</v>
      </c>
      <c r="M190" s="179" t="e">
        <f t="shared" si="55"/>
        <v>#N/A</v>
      </c>
      <c r="N190" s="182" t="e">
        <f t="shared" si="56"/>
        <v>#N/A</v>
      </c>
      <c r="O190" s="179"/>
      <c r="P190" s="179"/>
      <c r="Q190" s="179">
        <f t="shared" si="57"/>
        <v>0</v>
      </c>
      <c r="R190" s="179">
        <f t="shared" si="58"/>
        <v>1</v>
      </c>
      <c r="S190" s="183"/>
      <c r="T190" s="179"/>
      <c r="U190" s="179"/>
      <c r="V190" s="179"/>
      <c r="W190" s="179"/>
      <c r="X190" s="182" t="e">
        <f t="shared" si="59"/>
        <v>#N/A</v>
      </c>
      <c r="Z190" s="186" t="str">
        <f t="shared" si="50"/>
        <v/>
      </c>
    </row>
    <row r="191" spans="1:26" s="186" customFormat="1">
      <c r="A191" s="179">
        <v>178</v>
      </c>
      <c r="B191" s="179"/>
      <c r="C191" s="179"/>
      <c r="D191" s="179"/>
      <c r="E191" s="180" t="e">
        <f t="shared" si="51"/>
        <v>#N/A</v>
      </c>
      <c r="F191" s="181" t="s">
        <v>1083</v>
      </c>
      <c r="G191" s="181" t="s">
        <v>1084</v>
      </c>
      <c r="H191" s="181" t="e">
        <f t="shared" si="52"/>
        <v>#N/A</v>
      </c>
      <c r="I191" s="181"/>
      <c r="J191" s="181" t="e">
        <f t="shared" si="53"/>
        <v>#N/A</v>
      </c>
      <c r="K191" s="179"/>
      <c r="L191" s="179" t="e">
        <f t="shared" si="54"/>
        <v>#N/A</v>
      </c>
      <c r="M191" s="179" t="e">
        <f t="shared" si="55"/>
        <v>#N/A</v>
      </c>
      <c r="N191" s="182" t="e">
        <f t="shared" si="56"/>
        <v>#N/A</v>
      </c>
      <c r="O191" s="179"/>
      <c r="P191" s="179"/>
      <c r="Q191" s="179">
        <f t="shared" si="57"/>
        <v>0</v>
      </c>
      <c r="R191" s="179">
        <f t="shared" si="58"/>
        <v>1</v>
      </c>
      <c r="S191" s="183"/>
      <c r="T191" s="179"/>
      <c r="U191" s="179"/>
      <c r="V191" s="179"/>
      <c r="W191" s="179"/>
      <c r="X191" s="182" t="e">
        <f t="shared" si="59"/>
        <v>#N/A</v>
      </c>
      <c r="Z191" s="186" t="str">
        <f t="shared" si="50"/>
        <v/>
      </c>
    </row>
    <row r="192" spans="1:26" s="186" customFormat="1">
      <c r="A192" s="179">
        <v>179</v>
      </c>
      <c r="B192" s="179"/>
      <c r="C192" s="179"/>
      <c r="D192" s="179"/>
      <c r="E192" s="180" t="e">
        <f t="shared" si="51"/>
        <v>#N/A</v>
      </c>
      <c r="F192" s="181" t="s">
        <v>1083</v>
      </c>
      <c r="G192" s="181" t="s">
        <v>1084</v>
      </c>
      <c r="H192" s="181" t="e">
        <f t="shared" si="52"/>
        <v>#N/A</v>
      </c>
      <c r="I192" s="181"/>
      <c r="J192" s="181" t="e">
        <f t="shared" si="53"/>
        <v>#N/A</v>
      </c>
      <c r="K192" s="179"/>
      <c r="L192" s="179" t="e">
        <f t="shared" si="54"/>
        <v>#N/A</v>
      </c>
      <c r="M192" s="179" t="e">
        <f t="shared" si="55"/>
        <v>#N/A</v>
      </c>
      <c r="N192" s="182" t="e">
        <f t="shared" si="56"/>
        <v>#N/A</v>
      </c>
      <c r="O192" s="179"/>
      <c r="P192" s="179"/>
      <c r="Q192" s="179">
        <f t="shared" si="57"/>
        <v>0</v>
      </c>
      <c r="R192" s="179">
        <f t="shared" si="58"/>
        <v>1</v>
      </c>
      <c r="S192" s="183"/>
      <c r="T192" s="179"/>
      <c r="U192" s="179"/>
      <c r="V192" s="179"/>
      <c r="W192" s="179"/>
      <c r="X192" s="182" t="e">
        <f t="shared" si="59"/>
        <v>#N/A</v>
      </c>
      <c r="Z192" s="186" t="str">
        <f t="shared" si="50"/>
        <v/>
      </c>
    </row>
    <row r="193" spans="1:26" s="186" customFormat="1">
      <c r="A193" s="179">
        <v>180</v>
      </c>
      <c r="B193" s="179"/>
      <c r="C193" s="179"/>
      <c r="D193" s="179"/>
      <c r="E193" s="180" t="e">
        <f t="shared" si="51"/>
        <v>#N/A</v>
      </c>
      <c r="F193" s="181" t="s">
        <v>1083</v>
      </c>
      <c r="G193" s="181" t="s">
        <v>1084</v>
      </c>
      <c r="H193" s="181" t="e">
        <f t="shared" si="52"/>
        <v>#N/A</v>
      </c>
      <c r="I193" s="181"/>
      <c r="J193" s="181" t="e">
        <f t="shared" si="53"/>
        <v>#N/A</v>
      </c>
      <c r="K193" s="179"/>
      <c r="L193" s="179" t="e">
        <f t="shared" si="54"/>
        <v>#N/A</v>
      </c>
      <c r="M193" s="179" t="e">
        <f t="shared" si="55"/>
        <v>#N/A</v>
      </c>
      <c r="N193" s="182" t="e">
        <f t="shared" si="56"/>
        <v>#N/A</v>
      </c>
      <c r="O193" s="179"/>
      <c r="P193" s="179"/>
      <c r="Q193" s="179">
        <f t="shared" si="57"/>
        <v>0</v>
      </c>
      <c r="R193" s="179">
        <f t="shared" si="58"/>
        <v>1</v>
      </c>
      <c r="S193" s="183"/>
      <c r="T193" s="179"/>
      <c r="U193" s="179"/>
      <c r="V193" s="179"/>
      <c r="W193" s="179"/>
      <c r="X193" s="182" t="e">
        <f t="shared" si="59"/>
        <v>#N/A</v>
      </c>
      <c r="Z193" s="186" t="str">
        <f t="shared" si="50"/>
        <v/>
      </c>
    </row>
    <row r="194" spans="1:26" s="186" customFormat="1">
      <c r="A194" s="179">
        <v>181</v>
      </c>
      <c r="B194" s="179"/>
      <c r="C194" s="179"/>
      <c r="D194" s="179"/>
      <c r="E194" s="180" t="e">
        <f t="shared" si="51"/>
        <v>#N/A</v>
      </c>
      <c r="F194" s="181" t="s">
        <v>1083</v>
      </c>
      <c r="G194" s="181" t="s">
        <v>1084</v>
      </c>
      <c r="H194" s="181" t="e">
        <f t="shared" si="52"/>
        <v>#N/A</v>
      </c>
      <c r="I194" s="181"/>
      <c r="J194" s="181" t="e">
        <f t="shared" si="53"/>
        <v>#N/A</v>
      </c>
      <c r="K194" s="179"/>
      <c r="L194" s="179" t="e">
        <f t="shared" si="54"/>
        <v>#N/A</v>
      </c>
      <c r="M194" s="179" t="e">
        <f t="shared" si="55"/>
        <v>#N/A</v>
      </c>
      <c r="N194" s="182" t="e">
        <f t="shared" si="56"/>
        <v>#N/A</v>
      </c>
      <c r="O194" s="179"/>
      <c r="P194" s="179"/>
      <c r="Q194" s="179">
        <f t="shared" si="57"/>
        <v>0</v>
      </c>
      <c r="R194" s="179">
        <f t="shared" si="58"/>
        <v>1</v>
      </c>
      <c r="S194" s="183"/>
      <c r="T194" s="179"/>
      <c r="U194" s="179"/>
      <c r="V194" s="179"/>
      <c r="W194" s="179"/>
      <c r="X194" s="182" t="e">
        <f t="shared" si="59"/>
        <v>#N/A</v>
      </c>
      <c r="Z194" s="186" t="str">
        <f t="shared" si="50"/>
        <v/>
      </c>
    </row>
    <row r="195" spans="1:26" s="186" customFormat="1">
      <c r="A195" s="179">
        <v>182</v>
      </c>
      <c r="B195" s="179"/>
      <c r="C195" s="179"/>
      <c r="D195" s="179"/>
      <c r="E195" s="180" t="e">
        <f t="shared" si="51"/>
        <v>#N/A</v>
      </c>
      <c r="F195" s="181" t="s">
        <v>1083</v>
      </c>
      <c r="G195" s="181" t="s">
        <v>1084</v>
      </c>
      <c r="H195" s="181" t="e">
        <f t="shared" si="52"/>
        <v>#N/A</v>
      </c>
      <c r="I195" s="181"/>
      <c r="J195" s="181" t="e">
        <f t="shared" si="53"/>
        <v>#N/A</v>
      </c>
      <c r="K195" s="179"/>
      <c r="L195" s="179" t="e">
        <f t="shared" si="54"/>
        <v>#N/A</v>
      </c>
      <c r="M195" s="179" t="e">
        <f t="shared" si="55"/>
        <v>#N/A</v>
      </c>
      <c r="N195" s="182" t="e">
        <f t="shared" si="56"/>
        <v>#N/A</v>
      </c>
      <c r="O195" s="179"/>
      <c r="P195" s="179"/>
      <c r="Q195" s="179">
        <f t="shared" si="57"/>
        <v>0</v>
      </c>
      <c r="R195" s="179">
        <f t="shared" si="58"/>
        <v>1</v>
      </c>
      <c r="S195" s="183"/>
      <c r="T195" s="179"/>
      <c r="U195" s="179"/>
      <c r="V195" s="179"/>
      <c r="W195" s="179"/>
      <c r="X195" s="182" t="e">
        <f t="shared" si="59"/>
        <v>#N/A</v>
      </c>
      <c r="Z195" s="186" t="str">
        <f t="shared" si="50"/>
        <v/>
      </c>
    </row>
    <row r="196" spans="1:26" s="186" customFormat="1">
      <c r="A196" s="179">
        <v>183</v>
      </c>
      <c r="B196" s="179"/>
      <c r="C196" s="179"/>
      <c r="D196" s="179"/>
      <c r="E196" s="180" t="e">
        <f t="shared" si="51"/>
        <v>#N/A</v>
      </c>
      <c r="F196" s="181" t="s">
        <v>1083</v>
      </c>
      <c r="G196" s="181" t="s">
        <v>1084</v>
      </c>
      <c r="H196" s="181" t="e">
        <f t="shared" si="52"/>
        <v>#N/A</v>
      </c>
      <c r="I196" s="181"/>
      <c r="J196" s="181" t="e">
        <f t="shared" si="53"/>
        <v>#N/A</v>
      </c>
      <c r="K196" s="179"/>
      <c r="L196" s="179" t="e">
        <f t="shared" si="54"/>
        <v>#N/A</v>
      </c>
      <c r="M196" s="179" t="e">
        <f t="shared" si="55"/>
        <v>#N/A</v>
      </c>
      <c r="N196" s="182" t="e">
        <f t="shared" si="56"/>
        <v>#N/A</v>
      </c>
      <c r="O196" s="179"/>
      <c r="P196" s="179"/>
      <c r="Q196" s="179">
        <f t="shared" si="57"/>
        <v>0</v>
      </c>
      <c r="R196" s="179">
        <f t="shared" si="58"/>
        <v>1</v>
      </c>
      <c r="S196" s="183"/>
      <c r="T196" s="179"/>
      <c r="U196" s="179"/>
      <c r="V196" s="179"/>
      <c r="W196" s="179"/>
      <c r="X196" s="182" t="e">
        <f t="shared" si="59"/>
        <v>#N/A</v>
      </c>
      <c r="Z196" s="186" t="str">
        <f t="shared" si="50"/>
        <v/>
      </c>
    </row>
    <row r="197" spans="1:26" s="186" customFormat="1">
      <c r="A197" s="179">
        <v>184</v>
      </c>
      <c r="B197" s="179"/>
      <c r="C197" s="179"/>
      <c r="D197" s="179"/>
      <c r="E197" s="180" t="e">
        <f t="shared" si="51"/>
        <v>#N/A</v>
      </c>
      <c r="F197" s="181" t="s">
        <v>1083</v>
      </c>
      <c r="G197" s="181" t="s">
        <v>1084</v>
      </c>
      <c r="H197" s="181" t="e">
        <f t="shared" si="52"/>
        <v>#N/A</v>
      </c>
      <c r="I197" s="181"/>
      <c r="J197" s="181" t="e">
        <f t="shared" si="53"/>
        <v>#N/A</v>
      </c>
      <c r="K197" s="179"/>
      <c r="L197" s="179" t="e">
        <f t="shared" si="54"/>
        <v>#N/A</v>
      </c>
      <c r="M197" s="179" t="e">
        <f t="shared" si="55"/>
        <v>#N/A</v>
      </c>
      <c r="N197" s="182" t="e">
        <f t="shared" si="56"/>
        <v>#N/A</v>
      </c>
      <c r="O197" s="179"/>
      <c r="P197" s="179"/>
      <c r="Q197" s="179">
        <f t="shared" si="57"/>
        <v>0</v>
      </c>
      <c r="R197" s="179">
        <f t="shared" si="58"/>
        <v>1</v>
      </c>
      <c r="S197" s="183"/>
      <c r="T197" s="179"/>
      <c r="U197" s="179"/>
      <c r="V197" s="179"/>
      <c r="W197" s="179"/>
      <c r="X197" s="182" t="e">
        <f t="shared" si="59"/>
        <v>#N/A</v>
      </c>
      <c r="Z197" s="186" t="str">
        <f t="shared" si="50"/>
        <v/>
      </c>
    </row>
    <row r="198" spans="1:26" s="186" customFormat="1">
      <c r="A198" s="179">
        <v>185</v>
      </c>
      <c r="B198" s="179"/>
      <c r="C198" s="179"/>
      <c r="D198" s="179"/>
      <c r="E198" s="180" t="e">
        <f t="shared" si="51"/>
        <v>#N/A</v>
      </c>
      <c r="F198" s="181" t="s">
        <v>1083</v>
      </c>
      <c r="G198" s="181" t="s">
        <v>1084</v>
      </c>
      <c r="H198" s="181" t="e">
        <f t="shared" si="52"/>
        <v>#N/A</v>
      </c>
      <c r="I198" s="181"/>
      <c r="J198" s="181" t="e">
        <f t="shared" si="53"/>
        <v>#N/A</v>
      </c>
      <c r="K198" s="179"/>
      <c r="L198" s="179" t="e">
        <f t="shared" si="54"/>
        <v>#N/A</v>
      </c>
      <c r="M198" s="179" t="e">
        <f t="shared" si="55"/>
        <v>#N/A</v>
      </c>
      <c r="N198" s="182" t="e">
        <f t="shared" si="56"/>
        <v>#N/A</v>
      </c>
      <c r="O198" s="179"/>
      <c r="P198" s="179"/>
      <c r="Q198" s="179">
        <f t="shared" si="57"/>
        <v>0</v>
      </c>
      <c r="R198" s="179">
        <f t="shared" si="58"/>
        <v>1</v>
      </c>
      <c r="S198" s="183"/>
      <c r="T198" s="179"/>
      <c r="U198" s="179"/>
      <c r="V198" s="179"/>
      <c r="W198" s="179"/>
      <c r="X198" s="182" t="e">
        <f t="shared" si="59"/>
        <v>#N/A</v>
      </c>
      <c r="Z198" s="186" t="str">
        <f t="shared" si="50"/>
        <v/>
      </c>
    </row>
    <row r="199" spans="1:26" s="186" customFormat="1">
      <c r="A199" s="179">
        <v>186</v>
      </c>
      <c r="B199" s="179"/>
      <c r="C199" s="179"/>
      <c r="D199" s="179"/>
      <c r="E199" s="180" t="e">
        <f t="shared" si="51"/>
        <v>#N/A</v>
      </c>
      <c r="F199" s="181" t="s">
        <v>1083</v>
      </c>
      <c r="G199" s="181" t="s">
        <v>1084</v>
      </c>
      <c r="H199" s="181" t="e">
        <f t="shared" si="52"/>
        <v>#N/A</v>
      </c>
      <c r="I199" s="181"/>
      <c r="J199" s="181" t="e">
        <f t="shared" si="53"/>
        <v>#N/A</v>
      </c>
      <c r="K199" s="179"/>
      <c r="L199" s="179" t="e">
        <f t="shared" si="54"/>
        <v>#N/A</v>
      </c>
      <c r="M199" s="179" t="e">
        <f t="shared" si="55"/>
        <v>#N/A</v>
      </c>
      <c r="N199" s="182" t="e">
        <f t="shared" si="56"/>
        <v>#N/A</v>
      </c>
      <c r="O199" s="179"/>
      <c r="P199" s="179"/>
      <c r="Q199" s="179">
        <f t="shared" si="57"/>
        <v>0</v>
      </c>
      <c r="R199" s="179">
        <f t="shared" si="58"/>
        <v>1</v>
      </c>
      <c r="S199" s="183"/>
      <c r="T199" s="179"/>
      <c r="U199" s="179"/>
      <c r="V199" s="179"/>
      <c r="W199" s="179"/>
      <c r="X199" s="182" t="e">
        <f t="shared" si="59"/>
        <v>#N/A</v>
      </c>
      <c r="Z199" s="186" t="str">
        <f t="shared" si="50"/>
        <v/>
      </c>
    </row>
    <row r="200" spans="1:26" s="186" customFormat="1">
      <c r="A200" s="179">
        <v>187</v>
      </c>
      <c r="B200" s="179"/>
      <c r="C200" s="179"/>
      <c r="D200" s="179"/>
      <c r="E200" s="180" t="e">
        <f t="shared" si="51"/>
        <v>#N/A</v>
      </c>
      <c r="F200" s="181" t="s">
        <v>1083</v>
      </c>
      <c r="G200" s="181" t="s">
        <v>1084</v>
      </c>
      <c r="H200" s="181" t="e">
        <f t="shared" si="52"/>
        <v>#N/A</v>
      </c>
      <c r="I200" s="181"/>
      <c r="J200" s="181" t="e">
        <f t="shared" si="53"/>
        <v>#N/A</v>
      </c>
      <c r="K200" s="179"/>
      <c r="L200" s="179" t="e">
        <f t="shared" si="54"/>
        <v>#N/A</v>
      </c>
      <c r="M200" s="179" t="e">
        <f t="shared" si="55"/>
        <v>#N/A</v>
      </c>
      <c r="N200" s="182" t="e">
        <f t="shared" si="56"/>
        <v>#N/A</v>
      </c>
      <c r="O200" s="179"/>
      <c r="P200" s="179"/>
      <c r="Q200" s="179">
        <f t="shared" si="57"/>
        <v>0</v>
      </c>
      <c r="R200" s="179">
        <f t="shared" si="58"/>
        <v>1</v>
      </c>
      <c r="S200" s="183"/>
      <c r="T200" s="179"/>
      <c r="U200" s="179"/>
      <c r="V200" s="179"/>
      <c r="W200" s="179"/>
      <c r="X200" s="182" t="e">
        <f t="shared" si="59"/>
        <v>#N/A</v>
      </c>
      <c r="Z200" s="186" t="str">
        <f t="shared" si="50"/>
        <v/>
      </c>
    </row>
    <row r="201" spans="1:26" s="186" customFormat="1">
      <c r="A201" s="179">
        <v>188</v>
      </c>
      <c r="B201" s="179"/>
      <c r="C201" s="179"/>
      <c r="D201" s="179"/>
      <c r="E201" s="180" t="e">
        <f t="shared" si="51"/>
        <v>#N/A</v>
      </c>
      <c r="F201" s="181" t="s">
        <v>1083</v>
      </c>
      <c r="G201" s="181" t="s">
        <v>1084</v>
      </c>
      <c r="H201" s="181" t="e">
        <f t="shared" si="52"/>
        <v>#N/A</v>
      </c>
      <c r="I201" s="181"/>
      <c r="J201" s="181" t="e">
        <f t="shared" si="53"/>
        <v>#N/A</v>
      </c>
      <c r="K201" s="179"/>
      <c r="L201" s="179" t="e">
        <f t="shared" si="54"/>
        <v>#N/A</v>
      </c>
      <c r="M201" s="179" t="e">
        <f t="shared" si="55"/>
        <v>#N/A</v>
      </c>
      <c r="N201" s="182" t="e">
        <f t="shared" si="56"/>
        <v>#N/A</v>
      </c>
      <c r="O201" s="179"/>
      <c r="P201" s="179"/>
      <c r="Q201" s="179">
        <f t="shared" si="57"/>
        <v>0</v>
      </c>
      <c r="R201" s="179">
        <f t="shared" si="58"/>
        <v>1</v>
      </c>
      <c r="S201" s="183"/>
      <c r="T201" s="179"/>
      <c r="U201" s="179"/>
      <c r="V201" s="179"/>
      <c r="W201" s="179"/>
      <c r="X201" s="182" t="e">
        <f t="shared" si="59"/>
        <v>#N/A</v>
      </c>
      <c r="Z201" s="186" t="str">
        <f t="shared" si="50"/>
        <v/>
      </c>
    </row>
    <row r="202" spans="1:26" s="186" customFormat="1">
      <c r="A202" s="179">
        <v>189</v>
      </c>
      <c r="B202" s="179"/>
      <c r="C202" s="179"/>
      <c r="D202" s="179"/>
      <c r="E202" s="180" t="e">
        <f t="shared" si="51"/>
        <v>#N/A</v>
      </c>
      <c r="F202" s="181" t="s">
        <v>1083</v>
      </c>
      <c r="G202" s="181" t="s">
        <v>1084</v>
      </c>
      <c r="H202" s="181" t="e">
        <f t="shared" si="52"/>
        <v>#N/A</v>
      </c>
      <c r="I202" s="181"/>
      <c r="J202" s="181" t="e">
        <f t="shared" si="53"/>
        <v>#N/A</v>
      </c>
      <c r="K202" s="179"/>
      <c r="L202" s="179" t="e">
        <f t="shared" si="54"/>
        <v>#N/A</v>
      </c>
      <c r="M202" s="179" t="e">
        <f t="shared" si="55"/>
        <v>#N/A</v>
      </c>
      <c r="N202" s="182" t="e">
        <f t="shared" si="56"/>
        <v>#N/A</v>
      </c>
      <c r="O202" s="179"/>
      <c r="P202" s="179"/>
      <c r="Q202" s="179">
        <f t="shared" si="57"/>
        <v>0</v>
      </c>
      <c r="R202" s="179">
        <f t="shared" si="58"/>
        <v>1</v>
      </c>
      <c r="S202" s="183"/>
      <c r="T202" s="179"/>
      <c r="U202" s="179"/>
      <c r="V202" s="179"/>
      <c r="W202" s="179"/>
      <c r="X202" s="182" t="e">
        <f t="shared" si="59"/>
        <v>#N/A</v>
      </c>
      <c r="Z202" s="186" t="str">
        <f t="shared" si="50"/>
        <v/>
      </c>
    </row>
    <row r="203" spans="1:26" s="186" customFormat="1">
      <c r="A203" s="179">
        <v>190</v>
      </c>
      <c r="B203" s="179"/>
      <c r="C203" s="179"/>
      <c r="D203" s="179"/>
      <c r="E203" s="180" t="e">
        <f t="shared" si="51"/>
        <v>#N/A</v>
      </c>
      <c r="F203" s="181" t="s">
        <v>1083</v>
      </c>
      <c r="G203" s="181" t="s">
        <v>1084</v>
      </c>
      <c r="H203" s="181" t="e">
        <f t="shared" si="52"/>
        <v>#N/A</v>
      </c>
      <c r="I203" s="181"/>
      <c r="J203" s="181" t="e">
        <f t="shared" si="53"/>
        <v>#N/A</v>
      </c>
      <c r="K203" s="179"/>
      <c r="L203" s="179" t="e">
        <f t="shared" si="54"/>
        <v>#N/A</v>
      </c>
      <c r="M203" s="179" t="e">
        <f t="shared" si="55"/>
        <v>#N/A</v>
      </c>
      <c r="N203" s="182" t="e">
        <f t="shared" si="56"/>
        <v>#N/A</v>
      </c>
      <c r="O203" s="179"/>
      <c r="P203" s="179"/>
      <c r="Q203" s="179">
        <f t="shared" si="57"/>
        <v>0</v>
      </c>
      <c r="R203" s="179">
        <f t="shared" si="58"/>
        <v>1</v>
      </c>
      <c r="S203" s="183"/>
      <c r="T203" s="179"/>
      <c r="U203" s="179"/>
      <c r="V203" s="179"/>
      <c r="W203" s="179"/>
      <c r="X203" s="182" t="e">
        <f t="shared" si="59"/>
        <v>#N/A</v>
      </c>
      <c r="Z203" s="186" t="str">
        <f t="shared" si="50"/>
        <v/>
      </c>
    </row>
    <row r="204" spans="1:26" s="186" customFormat="1">
      <c r="A204" s="179">
        <v>191</v>
      </c>
      <c r="B204" s="179"/>
      <c r="C204" s="179"/>
      <c r="D204" s="179"/>
      <c r="E204" s="180" t="e">
        <f t="shared" si="51"/>
        <v>#N/A</v>
      </c>
      <c r="F204" s="181" t="s">
        <v>1083</v>
      </c>
      <c r="G204" s="181" t="s">
        <v>1084</v>
      </c>
      <c r="H204" s="181" t="e">
        <f t="shared" si="52"/>
        <v>#N/A</v>
      </c>
      <c r="I204" s="181"/>
      <c r="J204" s="181" t="e">
        <f t="shared" si="53"/>
        <v>#N/A</v>
      </c>
      <c r="K204" s="179"/>
      <c r="L204" s="179" t="e">
        <f t="shared" si="54"/>
        <v>#N/A</v>
      </c>
      <c r="M204" s="179" t="e">
        <f t="shared" si="55"/>
        <v>#N/A</v>
      </c>
      <c r="N204" s="182" t="e">
        <f t="shared" si="56"/>
        <v>#N/A</v>
      </c>
      <c r="O204" s="179"/>
      <c r="P204" s="179"/>
      <c r="Q204" s="179">
        <f t="shared" si="57"/>
        <v>0</v>
      </c>
      <c r="R204" s="179">
        <f t="shared" si="58"/>
        <v>1</v>
      </c>
      <c r="S204" s="183"/>
      <c r="T204" s="179"/>
      <c r="U204" s="179"/>
      <c r="V204" s="179"/>
      <c r="W204" s="179"/>
      <c r="X204" s="182" t="e">
        <f t="shared" si="59"/>
        <v>#N/A</v>
      </c>
      <c r="Z204" s="186" t="str">
        <f t="shared" si="50"/>
        <v/>
      </c>
    </row>
    <row r="205" spans="1:26" s="186" customFormat="1">
      <c r="A205" s="179">
        <v>192</v>
      </c>
      <c r="B205" s="179"/>
      <c r="C205" s="179"/>
      <c r="D205" s="179"/>
      <c r="E205" s="180" t="e">
        <f t="shared" si="51"/>
        <v>#N/A</v>
      </c>
      <c r="F205" s="181" t="s">
        <v>1083</v>
      </c>
      <c r="G205" s="181" t="s">
        <v>1084</v>
      </c>
      <c r="H205" s="181" t="e">
        <f t="shared" si="52"/>
        <v>#N/A</v>
      </c>
      <c r="I205" s="181"/>
      <c r="J205" s="181" t="e">
        <f t="shared" si="53"/>
        <v>#N/A</v>
      </c>
      <c r="K205" s="179"/>
      <c r="L205" s="179" t="e">
        <f t="shared" si="54"/>
        <v>#N/A</v>
      </c>
      <c r="M205" s="179" t="e">
        <f t="shared" si="55"/>
        <v>#N/A</v>
      </c>
      <c r="N205" s="182" t="e">
        <f t="shared" si="56"/>
        <v>#N/A</v>
      </c>
      <c r="O205" s="179"/>
      <c r="P205" s="179"/>
      <c r="Q205" s="179">
        <f t="shared" si="57"/>
        <v>0</v>
      </c>
      <c r="R205" s="179">
        <f t="shared" si="58"/>
        <v>1</v>
      </c>
      <c r="S205" s="183"/>
      <c r="T205" s="179"/>
      <c r="U205" s="179"/>
      <c r="V205" s="179"/>
      <c r="W205" s="179"/>
      <c r="X205" s="182" t="e">
        <f t="shared" si="59"/>
        <v>#N/A</v>
      </c>
      <c r="Z205" s="186" t="str">
        <f t="shared" si="50"/>
        <v/>
      </c>
    </row>
    <row r="206" spans="1:26" s="186" customFormat="1">
      <c r="A206" s="179">
        <v>193</v>
      </c>
      <c r="B206" s="179"/>
      <c r="C206" s="179"/>
      <c r="D206" s="179"/>
      <c r="E206" s="180" t="e">
        <f t="shared" si="51"/>
        <v>#N/A</v>
      </c>
      <c r="F206" s="181" t="s">
        <v>1083</v>
      </c>
      <c r="G206" s="181" t="s">
        <v>1084</v>
      </c>
      <c r="H206" s="181" t="e">
        <f t="shared" si="52"/>
        <v>#N/A</v>
      </c>
      <c r="I206" s="181"/>
      <c r="J206" s="181" t="e">
        <f t="shared" si="53"/>
        <v>#N/A</v>
      </c>
      <c r="K206" s="179"/>
      <c r="L206" s="179" t="e">
        <f t="shared" si="54"/>
        <v>#N/A</v>
      </c>
      <c r="M206" s="179" t="e">
        <f t="shared" si="55"/>
        <v>#N/A</v>
      </c>
      <c r="N206" s="182" t="e">
        <f t="shared" si="56"/>
        <v>#N/A</v>
      </c>
      <c r="O206" s="179"/>
      <c r="P206" s="179"/>
      <c r="Q206" s="179">
        <f t="shared" si="57"/>
        <v>0</v>
      </c>
      <c r="R206" s="179">
        <f t="shared" si="58"/>
        <v>1</v>
      </c>
      <c r="S206" s="183"/>
      <c r="T206" s="179"/>
      <c r="U206" s="179"/>
      <c r="V206" s="179"/>
      <c r="W206" s="179"/>
      <c r="X206" s="182" t="e">
        <f t="shared" si="59"/>
        <v>#N/A</v>
      </c>
      <c r="Z206" s="186" t="str">
        <f t="shared" si="50"/>
        <v/>
      </c>
    </row>
    <row r="207" spans="1:26" s="186" customFormat="1">
      <c r="A207" s="179">
        <v>194</v>
      </c>
      <c r="B207" s="179"/>
      <c r="C207" s="179"/>
      <c r="D207" s="179"/>
      <c r="E207" s="180" t="e">
        <f t="shared" si="51"/>
        <v>#N/A</v>
      </c>
      <c r="F207" s="181" t="s">
        <v>1083</v>
      </c>
      <c r="G207" s="181" t="s">
        <v>1084</v>
      </c>
      <c r="H207" s="181" t="e">
        <f t="shared" si="52"/>
        <v>#N/A</v>
      </c>
      <c r="I207" s="181"/>
      <c r="J207" s="181" t="e">
        <f t="shared" si="53"/>
        <v>#N/A</v>
      </c>
      <c r="K207" s="179"/>
      <c r="L207" s="179" t="e">
        <f t="shared" si="54"/>
        <v>#N/A</v>
      </c>
      <c r="M207" s="179" t="e">
        <f t="shared" si="55"/>
        <v>#N/A</v>
      </c>
      <c r="N207" s="182" t="e">
        <f t="shared" si="56"/>
        <v>#N/A</v>
      </c>
      <c r="O207" s="179"/>
      <c r="P207" s="179"/>
      <c r="Q207" s="179">
        <f t="shared" si="57"/>
        <v>0</v>
      </c>
      <c r="R207" s="179">
        <f t="shared" si="58"/>
        <v>1</v>
      </c>
      <c r="S207" s="183"/>
      <c r="T207" s="179"/>
      <c r="U207" s="179"/>
      <c r="V207" s="179"/>
      <c r="W207" s="179"/>
      <c r="X207" s="182" t="e">
        <f t="shared" si="59"/>
        <v>#N/A</v>
      </c>
      <c r="Z207" s="186" t="str">
        <f t="shared" ref="Z207:Z221" si="60">LEFT(D207,3)</f>
        <v/>
      </c>
    </row>
    <row r="208" spans="1:26" s="186" customFormat="1">
      <c r="A208" s="179">
        <v>195</v>
      </c>
      <c r="B208" s="179"/>
      <c r="C208" s="179"/>
      <c r="D208" s="179"/>
      <c r="E208" s="180" t="e">
        <f t="shared" si="51"/>
        <v>#N/A</v>
      </c>
      <c r="F208" s="181" t="s">
        <v>1083</v>
      </c>
      <c r="G208" s="181" t="s">
        <v>1084</v>
      </c>
      <c r="H208" s="181" t="e">
        <f t="shared" si="52"/>
        <v>#N/A</v>
      </c>
      <c r="I208" s="181"/>
      <c r="J208" s="181" t="e">
        <f t="shared" si="53"/>
        <v>#N/A</v>
      </c>
      <c r="K208" s="179"/>
      <c r="L208" s="179" t="e">
        <f t="shared" si="54"/>
        <v>#N/A</v>
      </c>
      <c r="M208" s="179" t="e">
        <f t="shared" si="55"/>
        <v>#N/A</v>
      </c>
      <c r="N208" s="182" t="e">
        <f t="shared" si="56"/>
        <v>#N/A</v>
      </c>
      <c r="O208" s="179"/>
      <c r="P208" s="179"/>
      <c r="Q208" s="179">
        <f t="shared" si="57"/>
        <v>0</v>
      </c>
      <c r="R208" s="179">
        <f t="shared" si="58"/>
        <v>1</v>
      </c>
      <c r="S208" s="183"/>
      <c r="T208" s="179"/>
      <c r="U208" s="179"/>
      <c r="V208" s="179"/>
      <c r="W208" s="179"/>
      <c r="X208" s="182" t="e">
        <f t="shared" si="59"/>
        <v>#N/A</v>
      </c>
      <c r="Z208" s="186" t="str">
        <f t="shared" si="60"/>
        <v/>
      </c>
    </row>
    <row r="209" spans="1:26" s="186" customFormat="1">
      <c r="A209" s="179">
        <v>196</v>
      </c>
      <c r="B209" s="179"/>
      <c r="C209" s="179"/>
      <c r="D209" s="179"/>
      <c r="E209" s="180" t="e">
        <f t="shared" si="51"/>
        <v>#N/A</v>
      </c>
      <c r="F209" s="181" t="s">
        <v>1083</v>
      </c>
      <c r="G209" s="181" t="s">
        <v>1084</v>
      </c>
      <c r="H209" s="181" t="e">
        <f t="shared" si="52"/>
        <v>#N/A</v>
      </c>
      <c r="I209" s="181"/>
      <c r="J209" s="181" t="e">
        <f t="shared" si="53"/>
        <v>#N/A</v>
      </c>
      <c r="K209" s="179"/>
      <c r="L209" s="179" t="e">
        <f t="shared" si="54"/>
        <v>#N/A</v>
      </c>
      <c r="M209" s="179" t="e">
        <f t="shared" si="55"/>
        <v>#N/A</v>
      </c>
      <c r="N209" s="182" t="e">
        <f t="shared" si="56"/>
        <v>#N/A</v>
      </c>
      <c r="O209" s="179"/>
      <c r="P209" s="179"/>
      <c r="Q209" s="179">
        <f t="shared" si="57"/>
        <v>0</v>
      </c>
      <c r="R209" s="179">
        <f t="shared" si="58"/>
        <v>1</v>
      </c>
      <c r="S209" s="183"/>
      <c r="T209" s="179"/>
      <c r="U209" s="179"/>
      <c r="V209" s="179"/>
      <c r="W209" s="179"/>
      <c r="X209" s="182" t="e">
        <f t="shared" si="59"/>
        <v>#N/A</v>
      </c>
      <c r="Z209" s="186" t="str">
        <f t="shared" si="60"/>
        <v/>
      </c>
    </row>
    <row r="210" spans="1:26" s="186" customFormat="1">
      <c r="A210" s="179">
        <v>197</v>
      </c>
      <c r="B210" s="179"/>
      <c r="C210" s="179"/>
      <c r="D210" s="179"/>
      <c r="E210" s="180" t="e">
        <f t="shared" si="51"/>
        <v>#N/A</v>
      </c>
      <c r="F210" s="181" t="s">
        <v>1083</v>
      </c>
      <c r="G210" s="181" t="s">
        <v>1084</v>
      </c>
      <c r="H210" s="181" t="e">
        <f t="shared" si="52"/>
        <v>#N/A</v>
      </c>
      <c r="I210" s="181"/>
      <c r="J210" s="181" t="e">
        <f t="shared" si="53"/>
        <v>#N/A</v>
      </c>
      <c r="K210" s="179"/>
      <c r="L210" s="179" t="e">
        <f t="shared" si="54"/>
        <v>#N/A</v>
      </c>
      <c r="M210" s="179" t="e">
        <f t="shared" si="55"/>
        <v>#N/A</v>
      </c>
      <c r="N210" s="182" t="e">
        <f t="shared" si="56"/>
        <v>#N/A</v>
      </c>
      <c r="O210" s="179"/>
      <c r="P210" s="179"/>
      <c r="Q210" s="179">
        <f t="shared" si="57"/>
        <v>0</v>
      </c>
      <c r="R210" s="179">
        <f t="shared" si="58"/>
        <v>1</v>
      </c>
      <c r="S210" s="183"/>
      <c r="T210" s="179"/>
      <c r="U210" s="179"/>
      <c r="V210" s="179"/>
      <c r="W210" s="179"/>
      <c r="X210" s="182" t="e">
        <f t="shared" si="59"/>
        <v>#N/A</v>
      </c>
      <c r="Z210" s="186" t="str">
        <f t="shared" si="60"/>
        <v/>
      </c>
    </row>
    <row r="211" spans="1:26" s="186" customFormat="1">
      <c r="A211" s="179">
        <v>198</v>
      </c>
      <c r="B211" s="179"/>
      <c r="C211" s="179"/>
      <c r="D211" s="179"/>
      <c r="E211" s="180" t="e">
        <f t="shared" si="51"/>
        <v>#N/A</v>
      </c>
      <c r="F211" s="181" t="s">
        <v>1083</v>
      </c>
      <c r="G211" s="181" t="s">
        <v>1084</v>
      </c>
      <c r="H211" s="181" t="e">
        <f t="shared" si="52"/>
        <v>#N/A</v>
      </c>
      <c r="I211" s="181"/>
      <c r="J211" s="181" t="e">
        <f t="shared" si="53"/>
        <v>#N/A</v>
      </c>
      <c r="K211" s="179"/>
      <c r="L211" s="179" t="e">
        <f t="shared" si="54"/>
        <v>#N/A</v>
      </c>
      <c r="M211" s="179" t="e">
        <f t="shared" si="55"/>
        <v>#N/A</v>
      </c>
      <c r="N211" s="182" t="e">
        <f t="shared" si="56"/>
        <v>#N/A</v>
      </c>
      <c r="O211" s="179"/>
      <c r="P211" s="179"/>
      <c r="Q211" s="179">
        <f t="shared" si="57"/>
        <v>0</v>
      </c>
      <c r="R211" s="179">
        <f t="shared" si="58"/>
        <v>1</v>
      </c>
      <c r="S211" s="183"/>
      <c r="T211" s="179"/>
      <c r="U211" s="179"/>
      <c r="V211" s="179"/>
      <c r="W211" s="179"/>
      <c r="X211" s="182" t="e">
        <f t="shared" si="59"/>
        <v>#N/A</v>
      </c>
      <c r="Z211" s="186" t="str">
        <f t="shared" si="60"/>
        <v/>
      </c>
    </row>
    <row r="212" spans="1:26" s="186" customFormat="1">
      <c r="A212" s="179">
        <v>199</v>
      </c>
      <c r="B212" s="179"/>
      <c r="C212" s="179"/>
      <c r="D212" s="179"/>
      <c r="E212" s="179"/>
      <c r="F212" s="179"/>
      <c r="G212" s="179"/>
      <c r="H212" s="179"/>
      <c r="I212" s="179"/>
      <c r="J212" s="179"/>
      <c r="K212" s="179"/>
      <c r="L212" s="179"/>
      <c r="M212" s="179"/>
      <c r="N212" s="182"/>
      <c r="O212" s="179"/>
      <c r="P212" s="179"/>
      <c r="Q212" s="179"/>
      <c r="R212" s="179"/>
      <c r="S212" s="182"/>
      <c r="T212" s="179"/>
      <c r="U212" s="179"/>
      <c r="V212" s="179"/>
      <c r="W212" s="179"/>
      <c r="X212" s="182"/>
      <c r="Z212" s="186" t="str">
        <f t="shared" si="60"/>
        <v/>
      </c>
    </row>
    <row r="213" spans="1:26" s="186" customFormat="1">
      <c r="A213" s="179">
        <v>200</v>
      </c>
      <c r="B213" s="179"/>
      <c r="C213" s="179"/>
      <c r="D213" s="179"/>
      <c r="E213" s="179"/>
      <c r="F213" s="179"/>
      <c r="G213" s="179"/>
      <c r="H213" s="179"/>
      <c r="I213" s="179"/>
      <c r="J213" s="179"/>
      <c r="K213" s="179"/>
      <c r="L213" s="179"/>
      <c r="M213" s="179"/>
      <c r="N213" s="182"/>
      <c r="O213" s="179"/>
      <c r="P213" s="179"/>
      <c r="Q213" s="179"/>
      <c r="R213" s="179"/>
      <c r="S213" s="182"/>
      <c r="T213" s="179"/>
      <c r="U213" s="179"/>
      <c r="V213" s="179"/>
      <c r="W213" s="179"/>
      <c r="X213" s="182"/>
      <c r="Z213" s="186" t="str">
        <f t="shared" si="60"/>
        <v/>
      </c>
    </row>
    <row r="214" spans="1:26" s="186" customFormat="1">
      <c r="A214" s="179">
        <v>201</v>
      </c>
      <c r="B214" s="179"/>
      <c r="C214" s="179"/>
      <c r="D214" s="179"/>
      <c r="E214" s="179"/>
      <c r="F214" s="179"/>
      <c r="G214" s="179"/>
      <c r="H214" s="179"/>
      <c r="I214" s="179"/>
      <c r="J214" s="179"/>
      <c r="K214" s="179"/>
      <c r="L214" s="179"/>
      <c r="M214" s="179"/>
      <c r="N214" s="182"/>
      <c r="O214" s="179"/>
      <c r="P214" s="179"/>
      <c r="Q214" s="179"/>
      <c r="R214" s="179"/>
      <c r="S214" s="182"/>
      <c r="T214" s="179"/>
      <c r="U214" s="179"/>
      <c r="V214" s="179"/>
      <c r="W214" s="179"/>
      <c r="X214" s="182"/>
      <c r="Z214" s="186" t="str">
        <f t="shared" si="60"/>
        <v/>
      </c>
    </row>
    <row r="215" spans="1:26" s="186" customFormat="1">
      <c r="A215" s="179">
        <v>202</v>
      </c>
      <c r="B215" s="179"/>
      <c r="C215" s="179"/>
      <c r="D215" s="179"/>
      <c r="E215" s="179"/>
      <c r="F215" s="179"/>
      <c r="G215" s="179"/>
      <c r="H215" s="179"/>
      <c r="I215" s="179"/>
      <c r="J215" s="179"/>
      <c r="K215" s="179"/>
      <c r="L215" s="179"/>
      <c r="M215" s="179"/>
      <c r="N215" s="182"/>
      <c r="O215" s="179"/>
      <c r="P215" s="179"/>
      <c r="Q215" s="179"/>
      <c r="R215" s="179"/>
      <c r="S215" s="182"/>
      <c r="T215" s="179"/>
      <c r="U215" s="179"/>
      <c r="V215" s="179"/>
      <c r="W215" s="179"/>
      <c r="X215" s="182"/>
      <c r="Z215" s="186" t="str">
        <f t="shared" si="60"/>
        <v/>
      </c>
    </row>
    <row r="216" spans="1:26" s="186" customFormat="1">
      <c r="A216" s="179">
        <v>203</v>
      </c>
      <c r="B216" s="179"/>
      <c r="C216" s="179"/>
      <c r="D216" s="179"/>
      <c r="E216" s="179"/>
      <c r="F216" s="179"/>
      <c r="G216" s="179"/>
      <c r="H216" s="179"/>
      <c r="I216" s="179"/>
      <c r="J216" s="179"/>
      <c r="K216" s="179"/>
      <c r="L216" s="179"/>
      <c r="M216" s="179"/>
      <c r="N216" s="182"/>
      <c r="O216" s="179"/>
      <c r="P216" s="179"/>
      <c r="Q216" s="179"/>
      <c r="R216" s="179"/>
      <c r="S216" s="182"/>
      <c r="T216" s="179"/>
      <c r="U216" s="179"/>
      <c r="V216" s="179"/>
      <c r="W216" s="179"/>
      <c r="X216" s="182"/>
      <c r="Z216" s="186" t="str">
        <f t="shared" si="60"/>
        <v/>
      </c>
    </row>
    <row r="217" spans="1:26" s="186" customFormat="1">
      <c r="A217" s="179">
        <v>204</v>
      </c>
      <c r="B217" s="179"/>
      <c r="C217" s="179"/>
      <c r="D217" s="179"/>
      <c r="E217" s="179"/>
      <c r="F217" s="179"/>
      <c r="G217" s="179"/>
      <c r="H217" s="179"/>
      <c r="I217" s="179"/>
      <c r="J217" s="179"/>
      <c r="K217" s="179"/>
      <c r="L217" s="179"/>
      <c r="M217" s="179"/>
      <c r="N217" s="182"/>
      <c r="O217" s="179"/>
      <c r="P217" s="179"/>
      <c r="Q217" s="179"/>
      <c r="R217" s="179"/>
      <c r="S217" s="182"/>
      <c r="T217" s="179"/>
      <c r="U217" s="179"/>
      <c r="V217" s="179"/>
      <c r="W217" s="179"/>
      <c r="X217" s="182"/>
      <c r="Z217" s="186" t="str">
        <f t="shared" si="60"/>
        <v/>
      </c>
    </row>
    <row r="218" spans="1:26" s="186" customFormat="1">
      <c r="A218" s="179">
        <v>205</v>
      </c>
      <c r="B218" s="179"/>
      <c r="C218" s="179"/>
      <c r="D218" s="179"/>
      <c r="E218" s="179"/>
      <c r="F218" s="179"/>
      <c r="G218" s="179"/>
      <c r="H218" s="179"/>
      <c r="I218" s="179"/>
      <c r="J218" s="179"/>
      <c r="K218" s="179"/>
      <c r="L218" s="179"/>
      <c r="M218" s="179"/>
      <c r="N218" s="182"/>
      <c r="O218" s="179"/>
      <c r="P218" s="179"/>
      <c r="Q218" s="179"/>
      <c r="R218" s="179"/>
      <c r="S218" s="182"/>
      <c r="T218" s="179"/>
      <c r="U218" s="179"/>
      <c r="V218" s="179"/>
      <c r="W218" s="179"/>
      <c r="X218" s="182"/>
      <c r="Z218" s="186" t="str">
        <f t="shared" si="60"/>
        <v/>
      </c>
    </row>
    <row r="219" spans="1:26" s="186" customFormat="1">
      <c r="A219" s="179">
        <v>206</v>
      </c>
      <c r="B219" s="179"/>
      <c r="C219" s="179"/>
      <c r="D219" s="179"/>
      <c r="E219" s="179"/>
      <c r="F219" s="179"/>
      <c r="G219" s="179"/>
      <c r="H219" s="179"/>
      <c r="I219" s="179"/>
      <c r="J219" s="179"/>
      <c r="K219" s="179"/>
      <c r="L219" s="179"/>
      <c r="M219" s="179"/>
      <c r="N219" s="182"/>
      <c r="O219" s="179"/>
      <c r="P219" s="179"/>
      <c r="Q219" s="179"/>
      <c r="R219" s="179"/>
      <c r="S219" s="182"/>
      <c r="T219" s="179"/>
      <c r="U219" s="179"/>
      <c r="V219" s="179"/>
      <c r="W219" s="179"/>
      <c r="X219" s="182"/>
      <c r="Z219" s="186" t="str">
        <f t="shared" si="60"/>
        <v/>
      </c>
    </row>
    <row r="220" spans="1:26" s="186" customFormat="1">
      <c r="A220" s="179">
        <v>207</v>
      </c>
      <c r="B220" s="179"/>
      <c r="C220" s="179"/>
      <c r="D220" s="179"/>
      <c r="E220" s="179"/>
      <c r="F220" s="179"/>
      <c r="G220" s="179"/>
      <c r="H220" s="179"/>
      <c r="I220" s="179"/>
      <c r="J220" s="179"/>
      <c r="K220" s="179"/>
      <c r="L220" s="179"/>
      <c r="M220" s="179"/>
      <c r="N220" s="182"/>
      <c r="O220" s="179"/>
      <c r="P220" s="179"/>
      <c r="Q220" s="179"/>
      <c r="R220" s="179"/>
      <c r="S220" s="182"/>
      <c r="T220" s="179"/>
      <c r="U220" s="179"/>
      <c r="V220" s="179"/>
      <c r="W220" s="179"/>
      <c r="X220" s="182"/>
      <c r="Z220" s="186" t="str">
        <f t="shared" si="60"/>
        <v/>
      </c>
    </row>
    <row r="221" spans="1:26" s="186" customFormat="1">
      <c r="A221" s="179">
        <v>208</v>
      </c>
      <c r="B221" s="179"/>
      <c r="C221" s="179"/>
      <c r="D221" s="179"/>
      <c r="E221" s="179"/>
      <c r="F221" s="179"/>
      <c r="G221" s="179"/>
      <c r="H221" s="179"/>
      <c r="I221" s="179"/>
      <c r="J221" s="179"/>
      <c r="K221" s="179"/>
      <c r="L221" s="179"/>
      <c r="M221" s="179"/>
      <c r="N221" s="182"/>
      <c r="O221" s="179"/>
      <c r="P221" s="179"/>
      <c r="Q221" s="179"/>
      <c r="R221" s="179"/>
      <c r="S221" s="182"/>
      <c r="T221" s="179"/>
      <c r="U221" s="179"/>
      <c r="V221" s="179"/>
      <c r="W221" s="179"/>
      <c r="X221" s="182"/>
      <c r="Z221" s="186" t="str">
        <f t="shared" si="60"/>
        <v/>
      </c>
    </row>
    <row r="222" spans="1:26" s="186" customFormat="1">
      <c r="A222" s="179">
        <v>209</v>
      </c>
      <c r="N222" s="155"/>
      <c r="S222" s="155"/>
      <c r="X222" s="155"/>
    </row>
    <row r="223" spans="1:26" s="186" customFormat="1">
      <c r="N223" s="155"/>
      <c r="S223" s="155"/>
      <c r="X223" s="155"/>
    </row>
    <row r="224" spans="1:26" s="186" customFormat="1">
      <c r="N224" s="155"/>
      <c r="S224" s="155"/>
      <c r="X224" s="155"/>
    </row>
    <row r="225" spans="14:24" s="186" customFormat="1">
      <c r="N225" s="155"/>
      <c r="S225" s="155"/>
      <c r="X225" s="155"/>
    </row>
    <row r="226" spans="14:24" s="186" customFormat="1">
      <c r="N226" s="155"/>
      <c r="S226" s="155"/>
      <c r="X226" s="155"/>
    </row>
    <row r="227" spans="14:24" s="186" customFormat="1">
      <c r="N227" s="155"/>
      <c r="S227" s="155"/>
      <c r="X227" s="155"/>
    </row>
    <row r="228" spans="14:24" s="186" customFormat="1">
      <c r="N228" s="155"/>
      <c r="S228" s="155"/>
      <c r="X228" s="155"/>
    </row>
    <row r="229" spans="14:24" s="186" customFormat="1">
      <c r="N229" s="155"/>
      <c r="S229" s="155"/>
      <c r="X229" s="155"/>
    </row>
    <row r="230" spans="14:24" s="186" customFormat="1">
      <c r="N230" s="155"/>
      <c r="S230" s="155"/>
      <c r="X230" s="155"/>
    </row>
    <row r="231" spans="14:24" s="186" customFormat="1">
      <c r="N231" s="155"/>
      <c r="S231" s="155"/>
      <c r="X231" s="155"/>
    </row>
    <row r="232" spans="14:24" s="186" customFormat="1">
      <c r="N232" s="155"/>
      <c r="S232" s="155"/>
      <c r="X232" s="155"/>
    </row>
    <row r="233" spans="14:24" s="186" customFormat="1">
      <c r="N233" s="155"/>
      <c r="S233" s="155"/>
      <c r="X233" s="155"/>
    </row>
    <row r="234" spans="14:24" s="186" customFormat="1">
      <c r="N234" s="155"/>
      <c r="S234" s="155"/>
      <c r="X234" s="155"/>
    </row>
    <row r="235" spans="14:24" s="186" customFormat="1">
      <c r="N235" s="155"/>
      <c r="S235" s="155"/>
      <c r="X235" s="155"/>
    </row>
    <row r="236" spans="14:24" s="186" customFormat="1">
      <c r="N236" s="155"/>
      <c r="S236" s="155"/>
      <c r="X236" s="155"/>
    </row>
    <row r="237" spans="14:24" s="186" customFormat="1">
      <c r="N237" s="155"/>
      <c r="S237" s="155"/>
      <c r="X237" s="155"/>
    </row>
    <row r="238" spans="14:24" s="186" customFormat="1">
      <c r="N238" s="155"/>
      <c r="S238" s="155"/>
      <c r="X238" s="155"/>
    </row>
    <row r="239" spans="14:24" s="186" customFormat="1">
      <c r="N239" s="155"/>
      <c r="S239" s="155"/>
      <c r="X239" s="155"/>
    </row>
    <row r="240" spans="14:24" s="186" customFormat="1">
      <c r="N240" s="155"/>
      <c r="S240" s="155"/>
      <c r="X240" s="155"/>
    </row>
    <row r="241" spans="14:24" s="186" customFormat="1">
      <c r="N241" s="155"/>
      <c r="S241" s="155"/>
      <c r="X241" s="155"/>
    </row>
    <row r="242" spans="14:24" s="186" customFormat="1">
      <c r="N242" s="155"/>
      <c r="S242" s="155"/>
      <c r="X242" s="155"/>
    </row>
    <row r="243" spans="14:24" s="186" customFormat="1">
      <c r="N243" s="155"/>
      <c r="S243" s="155"/>
      <c r="X243" s="155"/>
    </row>
    <row r="244" spans="14:24" s="186" customFormat="1">
      <c r="N244" s="155"/>
      <c r="S244" s="155"/>
      <c r="X244" s="155"/>
    </row>
    <row r="245" spans="14:24" s="186" customFormat="1">
      <c r="N245" s="155"/>
      <c r="S245" s="155"/>
      <c r="X245" s="155"/>
    </row>
    <row r="246" spans="14:24" s="186" customFormat="1">
      <c r="N246" s="155"/>
      <c r="S246" s="155"/>
      <c r="X246" s="155"/>
    </row>
    <row r="247" spans="14:24" s="186" customFormat="1">
      <c r="N247" s="155"/>
      <c r="S247" s="155"/>
      <c r="X247" s="155"/>
    </row>
    <row r="248" spans="14:24" s="186" customFormat="1">
      <c r="N248" s="155"/>
      <c r="S248" s="155"/>
      <c r="X248" s="155"/>
    </row>
    <row r="249" spans="14:24" s="186" customFormat="1">
      <c r="N249" s="155"/>
      <c r="S249" s="155"/>
      <c r="X249" s="155"/>
    </row>
    <row r="250" spans="14:24" s="186" customFormat="1">
      <c r="N250" s="155"/>
      <c r="S250" s="155"/>
      <c r="X250" s="155"/>
    </row>
    <row r="251" spans="14:24" s="186" customFormat="1">
      <c r="N251" s="155"/>
      <c r="S251" s="155"/>
      <c r="X251" s="155"/>
    </row>
    <row r="252" spans="14:24" s="186" customFormat="1">
      <c r="N252" s="155"/>
      <c r="S252" s="155"/>
      <c r="X252" s="155"/>
    </row>
    <row r="253" spans="14:24" s="186" customFormat="1">
      <c r="N253" s="155"/>
      <c r="S253" s="155"/>
      <c r="X253" s="155"/>
    </row>
    <row r="254" spans="14:24" s="186" customFormat="1">
      <c r="N254" s="155"/>
      <c r="S254" s="155"/>
      <c r="X254" s="155"/>
    </row>
    <row r="255" spans="14:24" s="186" customFormat="1">
      <c r="N255" s="155"/>
      <c r="S255" s="155"/>
      <c r="X255" s="155"/>
    </row>
    <row r="256" spans="14:24" s="186" customFormat="1">
      <c r="N256" s="155"/>
      <c r="S256" s="155"/>
      <c r="X256" s="155"/>
    </row>
    <row r="257" spans="14:24" s="186" customFormat="1">
      <c r="N257" s="155"/>
      <c r="S257" s="155"/>
      <c r="X257" s="155"/>
    </row>
    <row r="258" spans="14:24" s="186" customFormat="1">
      <c r="N258" s="155"/>
      <c r="S258" s="155"/>
      <c r="X258" s="155"/>
    </row>
    <row r="259" spans="14:24" s="186" customFormat="1">
      <c r="N259" s="155"/>
      <c r="S259" s="155"/>
      <c r="X259" s="155"/>
    </row>
    <row r="260" spans="14:24" s="186" customFormat="1">
      <c r="N260" s="155"/>
      <c r="S260" s="155"/>
      <c r="X260" s="155"/>
    </row>
    <row r="261" spans="14:24" s="186" customFormat="1">
      <c r="N261" s="155"/>
      <c r="S261" s="155"/>
      <c r="X261" s="155"/>
    </row>
    <row r="262" spans="14:24" s="186" customFormat="1">
      <c r="N262" s="155"/>
      <c r="S262" s="155"/>
      <c r="X262" s="155"/>
    </row>
    <row r="263" spans="14:24" s="186" customFormat="1">
      <c r="N263" s="155"/>
      <c r="S263" s="155"/>
      <c r="X263" s="155"/>
    </row>
    <row r="264" spans="14:24" s="186" customFormat="1">
      <c r="N264" s="155"/>
      <c r="S264" s="155"/>
      <c r="X264" s="155"/>
    </row>
    <row r="265" spans="14:24" s="186" customFormat="1">
      <c r="N265" s="155"/>
      <c r="S265" s="155"/>
      <c r="X265" s="155"/>
    </row>
    <row r="266" spans="14:24" s="186" customFormat="1">
      <c r="N266" s="155"/>
      <c r="S266" s="155"/>
      <c r="X266" s="155"/>
    </row>
    <row r="267" spans="14:24" s="186" customFormat="1">
      <c r="N267" s="155"/>
      <c r="S267" s="155"/>
      <c r="X267" s="155"/>
    </row>
    <row r="268" spans="14:24" s="186" customFormat="1">
      <c r="N268" s="155"/>
      <c r="S268" s="155"/>
      <c r="X268" s="155"/>
    </row>
    <row r="269" spans="14:24" s="186" customFormat="1">
      <c r="N269" s="155"/>
      <c r="S269" s="155"/>
      <c r="X269" s="155"/>
    </row>
    <row r="270" spans="14:24" s="186" customFormat="1">
      <c r="N270" s="155"/>
      <c r="S270" s="155"/>
      <c r="X270" s="155"/>
    </row>
    <row r="271" spans="14:24" s="186" customFormat="1">
      <c r="N271" s="155"/>
      <c r="S271" s="155"/>
      <c r="X271" s="155"/>
    </row>
    <row r="272" spans="14:24" s="186" customFormat="1">
      <c r="N272" s="155"/>
      <c r="S272" s="155"/>
      <c r="X272" s="155"/>
    </row>
    <row r="273" spans="14:24" s="186" customFormat="1">
      <c r="N273" s="155"/>
      <c r="S273" s="155"/>
      <c r="X273" s="155"/>
    </row>
    <row r="274" spans="14:24" s="186" customFormat="1">
      <c r="N274" s="155"/>
      <c r="S274" s="155"/>
      <c r="X274" s="155"/>
    </row>
    <row r="275" spans="14:24" s="186" customFormat="1">
      <c r="N275" s="155"/>
      <c r="S275" s="155"/>
      <c r="X275" s="155"/>
    </row>
    <row r="276" spans="14:24" s="186" customFormat="1">
      <c r="N276" s="155"/>
      <c r="S276" s="155"/>
      <c r="X276" s="155"/>
    </row>
    <row r="277" spans="14:24" s="186" customFormat="1">
      <c r="N277" s="155"/>
      <c r="S277" s="155"/>
      <c r="X277" s="155"/>
    </row>
    <row r="278" spans="14:24" s="186" customFormat="1">
      <c r="N278" s="155"/>
      <c r="S278" s="155"/>
      <c r="X278" s="155"/>
    </row>
    <row r="279" spans="14:24" s="186" customFormat="1">
      <c r="N279" s="155"/>
      <c r="S279" s="155"/>
      <c r="X279" s="155"/>
    </row>
    <row r="280" spans="14:24" s="186" customFormat="1">
      <c r="N280" s="155"/>
      <c r="S280" s="155"/>
      <c r="X280" s="155"/>
    </row>
    <row r="281" spans="14:24" s="186" customFormat="1">
      <c r="N281" s="155"/>
      <c r="S281" s="155"/>
      <c r="X281" s="155"/>
    </row>
    <row r="282" spans="14:24" s="186" customFormat="1">
      <c r="N282" s="155"/>
      <c r="S282" s="155"/>
      <c r="X282" s="155"/>
    </row>
    <row r="283" spans="14:24" s="186" customFormat="1">
      <c r="N283" s="155"/>
      <c r="S283" s="155"/>
      <c r="X283" s="155"/>
    </row>
    <row r="284" spans="14:24" s="186" customFormat="1">
      <c r="N284" s="155"/>
      <c r="S284" s="155"/>
      <c r="X284" s="155"/>
    </row>
    <row r="285" spans="14:24" s="186" customFormat="1">
      <c r="N285" s="155"/>
      <c r="S285" s="155"/>
      <c r="X285" s="155"/>
    </row>
    <row r="286" spans="14:24" s="186" customFormat="1">
      <c r="N286" s="155"/>
      <c r="S286" s="155"/>
      <c r="X286" s="155"/>
    </row>
    <row r="287" spans="14:24" s="186" customFormat="1">
      <c r="N287" s="155"/>
      <c r="S287" s="155"/>
      <c r="X287" s="155"/>
    </row>
    <row r="288" spans="14:24" s="186" customFormat="1">
      <c r="N288" s="155"/>
      <c r="S288" s="155"/>
      <c r="X288" s="155"/>
    </row>
    <row r="289" spans="14:24" s="186" customFormat="1">
      <c r="N289" s="155"/>
      <c r="S289" s="155"/>
      <c r="X289" s="155"/>
    </row>
    <row r="290" spans="14:24" s="186" customFormat="1">
      <c r="N290" s="155"/>
      <c r="S290" s="155"/>
      <c r="X290" s="155"/>
    </row>
    <row r="291" spans="14:24" s="186" customFormat="1">
      <c r="N291" s="155"/>
      <c r="S291" s="155"/>
      <c r="X291" s="155"/>
    </row>
    <row r="292" spans="14:24" s="186" customFormat="1">
      <c r="N292" s="155"/>
      <c r="S292" s="155"/>
      <c r="X292" s="155"/>
    </row>
    <row r="293" spans="14:24" s="186" customFormat="1">
      <c r="N293" s="155"/>
      <c r="S293" s="155"/>
      <c r="X293" s="155"/>
    </row>
    <row r="294" spans="14:24" s="186" customFormat="1">
      <c r="N294" s="155"/>
      <c r="S294" s="155"/>
      <c r="X294" s="155"/>
    </row>
    <row r="295" spans="14:24" s="186" customFormat="1">
      <c r="N295" s="155"/>
      <c r="S295" s="155"/>
      <c r="X295" s="155"/>
    </row>
    <row r="296" spans="14:24" s="186" customFormat="1">
      <c r="N296" s="155"/>
      <c r="S296" s="155"/>
      <c r="X296" s="155"/>
    </row>
    <row r="297" spans="14:24" s="186" customFormat="1">
      <c r="N297" s="155"/>
      <c r="S297" s="155"/>
      <c r="X297" s="155"/>
    </row>
    <row r="298" spans="14:24" s="186" customFormat="1">
      <c r="N298" s="155"/>
      <c r="S298" s="155"/>
      <c r="X298" s="155"/>
    </row>
    <row r="299" spans="14:24" s="186" customFormat="1">
      <c r="N299" s="155"/>
      <c r="S299" s="155"/>
      <c r="X299" s="155"/>
    </row>
    <row r="300" spans="14:24" s="186" customFormat="1">
      <c r="N300" s="155"/>
      <c r="S300" s="155"/>
      <c r="X300" s="155"/>
    </row>
    <row r="301" spans="14:24" s="186" customFormat="1">
      <c r="N301" s="155"/>
      <c r="S301" s="155"/>
      <c r="X301" s="155"/>
    </row>
    <row r="302" spans="14:24" s="186" customFormat="1">
      <c r="N302" s="155"/>
      <c r="S302" s="155"/>
      <c r="X302" s="155"/>
    </row>
    <row r="303" spans="14:24" s="186" customFormat="1">
      <c r="N303" s="155"/>
      <c r="S303" s="155"/>
      <c r="X303" s="155"/>
    </row>
    <row r="304" spans="14:24" s="186" customFormat="1">
      <c r="N304" s="155"/>
      <c r="S304" s="155"/>
      <c r="X304" s="155"/>
    </row>
    <row r="305" spans="5:24" s="186" customFormat="1">
      <c r="N305" s="155"/>
      <c r="S305" s="155"/>
      <c r="X305" s="155"/>
    </row>
    <row r="306" spans="5:24" s="186" customFormat="1">
      <c r="N306" s="155"/>
      <c r="S306" s="155"/>
      <c r="X306" s="155"/>
    </row>
    <row r="307" spans="5:24" s="186" customFormat="1">
      <c r="N307" s="155"/>
      <c r="S307" s="155"/>
      <c r="X307" s="155"/>
    </row>
    <row r="308" spans="5:24" s="186" customFormat="1">
      <c r="N308" s="155"/>
      <c r="S308" s="155"/>
      <c r="X308" s="155"/>
    </row>
    <row r="309" spans="5:24" s="186" customFormat="1">
      <c r="N309" s="155"/>
      <c r="S309" s="155"/>
      <c r="X309" s="155"/>
    </row>
    <row r="310" spans="5:24" s="186" customFormat="1">
      <c r="N310" s="155"/>
      <c r="S310" s="155"/>
      <c r="X310" s="155"/>
    </row>
    <row r="311" spans="5:24" s="186" customFormat="1">
      <c r="N311" s="155"/>
      <c r="S311" s="155"/>
      <c r="X311" s="155"/>
    </row>
    <row r="312" spans="5:24" s="186" customFormat="1">
      <c r="N312" s="155"/>
      <c r="S312" s="155"/>
      <c r="X312" s="155"/>
    </row>
    <row r="313" spans="5:24" s="186" customFormat="1">
      <c r="N313" s="155"/>
      <c r="S313" s="155"/>
      <c r="X313" s="155"/>
    </row>
    <row r="314" spans="5:24" s="186" customFormat="1">
      <c r="N314" s="155"/>
      <c r="S314" s="155"/>
      <c r="X314" s="155"/>
    </row>
    <row r="315" spans="5:24" s="186" customFormat="1">
      <c r="N315" s="155"/>
      <c r="S315" s="155"/>
      <c r="X315" s="155"/>
    </row>
    <row r="316" spans="5:24">
      <c r="E316" s="139"/>
      <c r="F316" s="139"/>
      <c r="G316" s="139"/>
      <c r="H316" s="139"/>
      <c r="I316" s="139"/>
      <c r="J316" s="139"/>
      <c r="N316" s="155"/>
      <c r="S316" s="155"/>
      <c r="X316" s="155"/>
    </row>
    <row r="317" spans="5:24">
      <c r="E317" s="139"/>
      <c r="F317" s="139"/>
      <c r="G317" s="139"/>
      <c r="H317" s="139"/>
      <c r="I317" s="139"/>
      <c r="J317" s="139"/>
      <c r="N317" s="155"/>
      <c r="S317" s="155"/>
      <c r="X317" s="155"/>
    </row>
    <row r="318" spans="5:24">
      <c r="E318" s="139"/>
      <c r="F318" s="139"/>
      <c r="G318" s="139"/>
      <c r="H318" s="139"/>
      <c r="I318" s="139"/>
      <c r="J318" s="139"/>
      <c r="N318" s="155"/>
      <c r="S318" s="155"/>
      <c r="X318" s="155"/>
    </row>
    <row r="319" spans="5:24">
      <c r="E319" s="139"/>
      <c r="F319" s="139"/>
      <c r="G319" s="139"/>
      <c r="H319" s="139"/>
      <c r="I319" s="139"/>
      <c r="J319" s="139"/>
      <c r="N319" s="155"/>
      <c r="S319" s="155"/>
      <c r="X319" s="155"/>
    </row>
    <row r="320" spans="5:24">
      <c r="E320" s="139"/>
      <c r="F320" s="139"/>
      <c r="G320" s="139"/>
      <c r="H320" s="139"/>
      <c r="I320" s="139"/>
      <c r="J320" s="139"/>
      <c r="N320" s="155"/>
      <c r="S320" s="155"/>
      <c r="X320" s="155"/>
    </row>
    <row r="321" spans="5:24">
      <c r="E321" s="139"/>
      <c r="F321" s="139"/>
      <c r="G321" s="139"/>
      <c r="H321" s="139"/>
      <c r="I321" s="139"/>
      <c r="J321" s="139"/>
      <c r="N321" s="155"/>
      <c r="S321" s="155"/>
      <c r="X321" s="155"/>
    </row>
    <row r="322" spans="5:24">
      <c r="E322" s="139"/>
      <c r="F322" s="139"/>
      <c r="G322" s="139"/>
      <c r="H322" s="139"/>
      <c r="I322" s="139"/>
      <c r="J322" s="139"/>
      <c r="N322" s="155"/>
      <c r="S322" s="155"/>
      <c r="X322" s="155"/>
    </row>
    <row r="323" spans="5:24">
      <c r="E323" s="139"/>
      <c r="F323" s="139"/>
      <c r="G323" s="139"/>
      <c r="H323" s="139"/>
      <c r="I323" s="139"/>
      <c r="J323" s="139"/>
      <c r="N323" s="155"/>
      <c r="S323" s="155"/>
      <c r="X323" s="155"/>
    </row>
    <row r="324" spans="5:24">
      <c r="E324" s="139"/>
      <c r="F324" s="139"/>
      <c r="G324" s="139"/>
      <c r="H324" s="139"/>
      <c r="I324" s="139"/>
      <c r="J324" s="139"/>
      <c r="N324" s="155"/>
      <c r="S324" s="155"/>
      <c r="X324" s="155"/>
    </row>
    <row r="325" spans="5:24">
      <c r="E325" s="139"/>
      <c r="F325" s="139"/>
      <c r="G325" s="139"/>
      <c r="H325" s="139"/>
      <c r="I325" s="139"/>
      <c r="J325" s="139"/>
      <c r="N325" s="155"/>
      <c r="S325" s="155"/>
      <c r="X325" s="155"/>
    </row>
    <row r="326" spans="5:24">
      <c r="E326" s="139"/>
      <c r="F326" s="139"/>
      <c r="G326" s="139"/>
      <c r="H326" s="139"/>
      <c r="I326" s="139"/>
      <c r="J326" s="139"/>
      <c r="N326" s="155"/>
      <c r="S326" s="155"/>
      <c r="X326" s="155"/>
    </row>
    <row r="327" spans="5:24">
      <c r="E327" s="139"/>
      <c r="F327" s="139"/>
      <c r="G327" s="139"/>
      <c r="H327" s="139"/>
      <c r="I327" s="139"/>
      <c r="J327" s="139"/>
      <c r="N327" s="155"/>
      <c r="S327" s="155"/>
      <c r="X327" s="155"/>
    </row>
    <row r="328" spans="5:24">
      <c r="E328" s="139"/>
      <c r="F328" s="139"/>
      <c r="G328" s="139"/>
      <c r="H328" s="139"/>
      <c r="I328" s="139"/>
      <c r="J328" s="139"/>
      <c r="N328" s="155"/>
      <c r="S328" s="155"/>
      <c r="X328" s="155"/>
    </row>
    <row r="329" spans="5:24">
      <c r="E329" s="139"/>
      <c r="F329" s="139"/>
      <c r="G329" s="139"/>
      <c r="H329" s="139"/>
      <c r="I329" s="139"/>
      <c r="J329" s="139"/>
      <c r="N329" s="155"/>
      <c r="S329" s="155"/>
      <c r="X329" s="155"/>
    </row>
    <row r="330" spans="5:24">
      <c r="E330" s="139"/>
      <c r="F330" s="139"/>
      <c r="G330" s="139"/>
      <c r="H330" s="139"/>
      <c r="I330" s="139"/>
      <c r="J330" s="139"/>
      <c r="N330" s="155"/>
      <c r="S330" s="155"/>
      <c r="X330" s="155"/>
    </row>
    <row r="331" spans="5:24">
      <c r="E331" s="139"/>
      <c r="F331" s="139"/>
      <c r="G331" s="139"/>
      <c r="H331" s="139"/>
      <c r="I331" s="139"/>
      <c r="J331" s="139"/>
      <c r="N331" s="155"/>
      <c r="S331" s="155"/>
      <c r="X331" s="155"/>
    </row>
    <row r="332" spans="5:24">
      <c r="E332" s="139"/>
      <c r="F332" s="139"/>
      <c r="G332" s="139"/>
      <c r="H332" s="139"/>
      <c r="I332" s="139"/>
      <c r="J332" s="139"/>
      <c r="N332" s="155"/>
      <c r="S332" s="155"/>
      <c r="X332" s="155"/>
    </row>
    <row r="333" spans="5:24">
      <c r="E333" s="139"/>
      <c r="F333" s="139"/>
      <c r="G333" s="139"/>
      <c r="H333" s="139"/>
      <c r="I333" s="139"/>
      <c r="J333" s="139"/>
      <c r="N333" s="155"/>
      <c r="S333" s="155"/>
      <c r="X333" s="155"/>
    </row>
    <row r="334" spans="5:24">
      <c r="E334" s="139"/>
      <c r="F334" s="139"/>
      <c r="G334" s="139"/>
      <c r="H334" s="139"/>
      <c r="I334" s="139"/>
      <c r="J334" s="139"/>
      <c r="N334" s="155"/>
      <c r="S334" s="155"/>
      <c r="X334" s="155"/>
    </row>
    <row r="335" spans="5:24">
      <c r="E335" s="139"/>
      <c r="F335" s="139"/>
      <c r="G335" s="139"/>
      <c r="H335" s="139"/>
      <c r="I335" s="139"/>
      <c r="J335" s="139"/>
      <c r="N335" s="155"/>
      <c r="S335" s="155"/>
      <c r="X335" s="155"/>
    </row>
    <row r="336" spans="5:24">
      <c r="E336" s="139"/>
      <c r="F336" s="139"/>
      <c r="G336" s="139"/>
      <c r="H336" s="139"/>
      <c r="I336" s="139"/>
      <c r="J336" s="139"/>
      <c r="N336" s="155"/>
      <c r="S336" s="155"/>
      <c r="X336" s="155"/>
    </row>
    <row r="337" spans="5:24">
      <c r="E337" s="139"/>
      <c r="F337" s="139"/>
      <c r="G337" s="139"/>
      <c r="H337" s="139"/>
      <c r="I337" s="139"/>
      <c r="J337" s="139"/>
      <c r="N337" s="155"/>
      <c r="S337" s="155"/>
      <c r="X337" s="155"/>
    </row>
    <row r="338" spans="5:24">
      <c r="E338" s="139"/>
      <c r="F338" s="139"/>
      <c r="G338" s="139"/>
      <c r="H338" s="139"/>
      <c r="I338" s="139"/>
      <c r="J338" s="139"/>
      <c r="N338" s="155"/>
      <c r="S338" s="155"/>
      <c r="X338" s="155"/>
    </row>
    <row r="339" spans="5:24">
      <c r="E339" s="139"/>
      <c r="F339" s="139"/>
      <c r="G339" s="139"/>
      <c r="H339" s="139"/>
      <c r="I339" s="139"/>
      <c r="J339" s="139"/>
      <c r="N339" s="155"/>
      <c r="S339" s="155"/>
      <c r="X339" s="155"/>
    </row>
    <row r="340" spans="5:24">
      <c r="E340" s="139"/>
      <c r="F340" s="139"/>
      <c r="G340" s="139"/>
      <c r="H340" s="139"/>
      <c r="I340" s="139"/>
      <c r="J340" s="139"/>
      <c r="N340" s="155"/>
      <c r="S340" s="155"/>
      <c r="X340" s="155"/>
    </row>
    <row r="341" spans="5:24">
      <c r="E341" s="139"/>
      <c r="F341" s="139"/>
      <c r="G341" s="139"/>
      <c r="H341" s="139"/>
      <c r="I341" s="139"/>
      <c r="J341" s="139"/>
      <c r="N341" s="155"/>
      <c r="S341" s="155"/>
      <c r="X341" s="155"/>
    </row>
    <row r="342" spans="5:24">
      <c r="E342" s="139"/>
      <c r="F342" s="139"/>
      <c r="G342" s="139"/>
      <c r="H342" s="139"/>
      <c r="I342" s="139"/>
      <c r="J342" s="139"/>
      <c r="N342" s="155"/>
      <c r="S342" s="155"/>
      <c r="X342" s="155"/>
    </row>
    <row r="343" spans="5:24">
      <c r="E343" s="139"/>
      <c r="F343" s="139"/>
      <c r="G343" s="139"/>
      <c r="H343" s="139"/>
      <c r="I343" s="139"/>
      <c r="J343" s="139"/>
      <c r="N343" s="155"/>
      <c r="S343" s="155"/>
      <c r="X343" s="155"/>
    </row>
    <row r="344" spans="5:24">
      <c r="E344" s="139"/>
      <c r="F344" s="139"/>
      <c r="G344" s="139"/>
      <c r="H344" s="139"/>
      <c r="I344" s="139"/>
      <c r="J344" s="139"/>
      <c r="N344" s="155"/>
      <c r="S344" s="155"/>
      <c r="X344" s="155"/>
    </row>
    <row r="345" spans="5:24">
      <c r="E345" s="139"/>
      <c r="F345" s="139"/>
      <c r="G345" s="139"/>
      <c r="H345" s="139"/>
      <c r="I345" s="139"/>
      <c r="J345" s="139"/>
      <c r="N345" s="155"/>
      <c r="S345" s="155"/>
      <c r="X345" s="155"/>
    </row>
    <row r="346" spans="5:24">
      <c r="E346" s="139"/>
      <c r="F346" s="139"/>
      <c r="G346" s="139"/>
      <c r="H346" s="139"/>
      <c r="I346" s="139"/>
      <c r="J346" s="139"/>
      <c r="N346" s="155"/>
      <c r="S346" s="155"/>
      <c r="X346" s="155"/>
    </row>
    <row r="347" spans="5:24">
      <c r="E347" s="139"/>
      <c r="F347" s="139"/>
      <c r="G347" s="139"/>
      <c r="H347" s="139"/>
      <c r="I347" s="139"/>
      <c r="J347" s="139"/>
      <c r="N347" s="155"/>
      <c r="S347" s="155"/>
      <c r="X347" s="155"/>
    </row>
    <row r="348" spans="5:24">
      <c r="E348" s="139"/>
      <c r="F348" s="139"/>
      <c r="G348" s="139"/>
      <c r="H348" s="139"/>
      <c r="I348" s="139"/>
      <c r="J348" s="139"/>
      <c r="N348" s="155"/>
      <c r="S348" s="155"/>
      <c r="X348" s="155"/>
    </row>
    <row r="349" spans="5:24">
      <c r="E349" s="139"/>
      <c r="F349" s="139"/>
      <c r="G349" s="139"/>
      <c r="H349" s="139"/>
      <c r="I349" s="139"/>
      <c r="J349" s="139"/>
      <c r="N349" s="155"/>
      <c r="S349" s="155"/>
      <c r="X349" s="155"/>
    </row>
    <row r="350" spans="5:24">
      <c r="E350" s="139"/>
      <c r="F350" s="139"/>
      <c r="G350" s="139"/>
      <c r="H350" s="139"/>
      <c r="I350" s="139"/>
      <c r="J350" s="139"/>
      <c r="N350" s="155"/>
      <c r="S350" s="155"/>
      <c r="X350" s="155"/>
    </row>
    <row r="351" spans="5:24">
      <c r="E351" s="139"/>
      <c r="F351" s="139"/>
      <c r="G351" s="139"/>
      <c r="H351" s="139"/>
      <c r="I351" s="139"/>
      <c r="J351" s="139"/>
      <c r="N351" s="155"/>
      <c r="S351" s="155"/>
      <c r="X351" s="155"/>
    </row>
    <row r="352" spans="5:24">
      <c r="E352" s="139"/>
      <c r="F352" s="139"/>
      <c r="G352" s="139"/>
      <c r="H352" s="139"/>
      <c r="I352" s="139"/>
      <c r="J352" s="139"/>
      <c r="N352" s="155"/>
      <c r="S352" s="155"/>
      <c r="X352" s="155"/>
    </row>
    <row r="353" spans="5:24">
      <c r="E353" s="139"/>
      <c r="F353" s="139"/>
      <c r="G353" s="139"/>
      <c r="H353" s="139"/>
      <c r="I353" s="139"/>
      <c r="J353" s="139"/>
      <c r="N353" s="155"/>
      <c r="S353" s="155"/>
      <c r="X353" s="155"/>
    </row>
    <row r="354" spans="5:24">
      <c r="E354" s="139"/>
      <c r="F354" s="139"/>
      <c r="G354" s="139"/>
      <c r="H354" s="139"/>
      <c r="I354" s="139"/>
      <c r="J354" s="139"/>
      <c r="N354" s="155"/>
      <c r="S354" s="155"/>
      <c r="X354" s="155"/>
    </row>
    <row r="355" spans="5:24">
      <c r="E355" s="139"/>
      <c r="F355" s="139"/>
      <c r="G355" s="139"/>
      <c r="H355" s="139"/>
      <c r="I355" s="139"/>
      <c r="J355" s="139"/>
      <c r="N355" s="155"/>
      <c r="S355" s="155"/>
      <c r="X355" s="155"/>
    </row>
    <row r="356" spans="5:24">
      <c r="E356" s="139"/>
      <c r="F356" s="139"/>
      <c r="G356" s="139"/>
      <c r="H356" s="139"/>
      <c r="I356" s="139"/>
      <c r="J356" s="139"/>
      <c r="N356" s="155"/>
      <c r="S356" s="155"/>
      <c r="X356" s="155"/>
    </row>
    <row r="357" spans="5:24">
      <c r="E357" s="139"/>
      <c r="F357" s="139"/>
      <c r="G357" s="139"/>
      <c r="H357" s="139"/>
      <c r="I357" s="139"/>
      <c r="J357" s="139"/>
      <c r="N357" s="155"/>
      <c r="S357" s="155"/>
      <c r="X357" s="155"/>
    </row>
    <row r="358" spans="5:24">
      <c r="E358" s="139"/>
      <c r="F358" s="139"/>
      <c r="G358" s="139"/>
      <c r="H358" s="139"/>
      <c r="I358" s="139"/>
      <c r="J358" s="139"/>
      <c r="N358" s="155"/>
      <c r="S358" s="155"/>
      <c r="X358" s="155"/>
    </row>
    <row r="359" spans="5:24">
      <c r="E359" s="139"/>
      <c r="F359" s="139"/>
      <c r="G359" s="139"/>
      <c r="H359" s="139"/>
      <c r="I359" s="139"/>
      <c r="J359" s="139"/>
      <c r="N359" s="155"/>
      <c r="S359" s="155"/>
      <c r="X359" s="155"/>
    </row>
    <row r="360" spans="5:24">
      <c r="E360" s="139"/>
      <c r="F360" s="139"/>
      <c r="G360" s="139"/>
      <c r="H360" s="139"/>
      <c r="I360" s="139"/>
      <c r="J360" s="139"/>
      <c r="N360" s="155"/>
      <c r="S360" s="155"/>
      <c r="X360" s="155"/>
    </row>
    <row r="361" spans="5:24">
      <c r="E361" s="139"/>
      <c r="F361" s="139"/>
      <c r="G361" s="139"/>
      <c r="H361" s="139"/>
      <c r="I361" s="139"/>
      <c r="J361" s="139"/>
      <c r="N361" s="155"/>
      <c r="S361" s="155"/>
      <c r="X361" s="155"/>
    </row>
    <row r="362" spans="5:24">
      <c r="E362" s="139"/>
      <c r="F362" s="139"/>
      <c r="G362" s="139"/>
      <c r="H362" s="139"/>
      <c r="I362" s="139"/>
      <c r="J362" s="139"/>
      <c r="N362" s="155"/>
      <c r="S362" s="155"/>
      <c r="X362" s="155"/>
    </row>
    <row r="363" spans="5:24">
      <c r="E363" s="139"/>
      <c r="F363" s="139"/>
      <c r="G363" s="139"/>
      <c r="H363" s="139"/>
      <c r="I363" s="139"/>
      <c r="J363" s="139"/>
      <c r="N363" s="155"/>
      <c r="S363" s="155"/>
      <c r="X363" s="155"/>
    </row>
    <row r="364" spans="5:24">
      <c r="E364" s="139"/>
      <c r="F364" s="139"/>
      <c r="G364" s="139"/>
      <c r="H364" s="139"/>
      <c r="I364" s="139"/>
      <c r="J364" s="139"/>
      <c r="N364" s="155"/>
      <c r="S364" s="155"/>
      <c r="X364" s="155"/>
    </row>
    <row r="365" spans="5:24">
      <c r="E365" s="139"/>
      <c r="F365" s="139"/>
      <c r="G365" s="139"/>
      <c r="H365" s="139"/>
      <c r="I365" s="139"/>
      <c r="J365" s="139"/>
      <c r="N365" s="155"/>
      <c r="S365" s="155"/>
      <c r="X365" s="155"/>
    </row>
    <row r="366" spans="5:24">
      <c r="E366" s="139"/>
      <c r="F366" s="139"/>
      <c r="G366" s="139"/>
      <c r="H366" s="139"/>
      <c r="I366" s="139"/>
      <c r="J366" s="139"/>
      <c r="N366" s="155"/>
      <c r="S366" s="155"/>
      <c r="X366" s="155"/>
    </row>
    <row r="367" spans="5:24">
      <c r="E367" s="139"/>
      <c r="F367" s="139"/>
      <c r="G367" s="139"/>
      <c r="H367" s="139"/>
      <c r="I367" s="139"/>
      <c r="J367" s="139"/>
      <c r="N367" s="155"/>
      <c r="S367" s="155"/>
      <c r="X367" s="155"/>
    </row>
    <row r="368" spans="5:24">
      <c r="E368" s="139"/>
      <c r="F368" s="139"/>
      <c r="G368" s="139"/>
      <c r="H368" s="139"/>
      <c r="I368" s="139"/>
      <c r="J368" s="139"/>
      <c r="N368" s="155"/>
      <c r="S368" s="155"/>
      <c r="X368" s="155"/>
    </row>
    <row r="369" spans="5:24">
      <c r="E369" s="139"/>
      <c r="F369" s="139"/>
      <c r="G369" s="139"/>
      <c r="H369" s="139"/>
      <c r="I369" s="139"/>
      <c r="J369" s="139"/>
      <c r="N369" s="155"/>
      <c r="S369" s="155"/>
      <c r="X369" s="155"/>
    </row>
    <row r="370" spans="5:24">
      <c r="E370" s="139"/>
      <c r="F370" s="139"/>
      <c r="G370" s="139"/>
      <c r="H370" s="139"/>
      <c r="I370" s="139"/>
      <c r="J370" s="139"/>
      <c r="N370" s="155"/>
      <c r="S370" s="155"/>
      <c r="X370" s="155"/>
    </row>
    <row r="371" spans="5:24">
      <c r="E371" s="139"/>
      <c r="F371" s="139"/>
      <c r="G371" s="139"/>
      <c r="H371" s="139"/>
      <c r="I371" s="139"/>
      <c r="J371" s="139"/>
      <c r="N371" s="155"/>
      <c r="S371" s="155"/>
      <c r="X371" s="155"/>
    </row>
    <row r="372" spans="5:24">
      <c r="E372" s="139"/>
      <c r="F372" s="139"/>
      <c r="G372" s="139"/>
      <c r="H372" s="139"/>
      <c r="I372" s="139"/>
      <c r="J372" s="139"/>
      <c r="N372" s="155"/>
      <c r="S372" s="155"/>
      <c r="X372" s="155"/>
    </row>
    <row r="373" spans="5:24">
      <c r="E373" s="139"/>
      <c r="F373" s="139"/>
      <c r="G373" s="139"/>
      <c r="H373" s="139"/>
      <c r="I373" s="139"/>
      <c r="J373" s="139"/>
      <c r="N373" s="155"/>
      <c r="S373" s="155"/>
      <c r="X373" s="155"/>
    </row>
    <row r="374" spans="5:24">
      <c r="E374" s="139"/>
      <c r="F374" s="139"/>
      <c r="G374" s="139"/>
      <c r="H374" s="139"/>
      <c r="I374" s="139"/>
      <c r="J374" s="139"/>
      <c r="N374" s="155"/>
      <c r="S374" s="155"/>
      <c r="X374" s="155"/>
    </row>
    <row r="375" spans="5:24">
      <c r="E375" s="139"/>
      <c r="F375" s="139"/>
      <c r="G375" s="139"/>
      <c r="H375" s="139"/>
      <c r="I375" s="139"/>
      <c r="J375" s="139"/>
      <c r="N375" s="155"/>
      <c r="S375" s="155"/>
      <c r="X375" s="155"/>
    </row>
    <row r="376" spans="5:24">
      <c r="E376" s="139"/>
      <c r="F376" s="139"/>
      <c r="G376" s="139"/>
      <c r="H376" s="139"/>
      <c r="I376" s="139"/>
      <c r="J376" s="139"/>
      <c r="N376" s="155"/>
      <c r="S376" s="155"/>
      <c r="X376" s="155"/>
    </row>
    <row r="377" spans="5:24">
      <c r="E377" s="139"/>
      <c r="F377" s="139"/>
      <c r="G377" s="139"/>
      <c r="H377" s="139"/>
      <c r="I377" s="139"/>
      <c r="J377" s="139"/>
      <c r="N377" s="155"/>
      <c r="S377" s="155"/>
      <c r="X377" s="155"/>
    </row>
    <row r="378" spans="5:24">
      <c r="E378" s="139"/>
      <c r="F378" s="139"/>
      <c r="G378" s="139"/>
      <c r="H378" s="139"/>
      <c r="I378" s="139"/>
      <c r="J378" s="139"/>
      <c r="N378" s="155"/>
      <c r="S378" s="155"/>
      <c r="X378" s="155"/>
    </row>
    <row r="379" spans="5:24">
      <c r="E379" s="139"/>
      <c r="F379" s="139"/>
      <c r="G379" s="139"/>
      <c r="H379" s="139"/>
      <c r="I379" s="139"/>
      <c r="J379" s="139"/>
      <c r="N379" s="155"/>
      <c r="S379" s="155"/>
      <c r="X379" s="155"/>
    </row>
    <row r="380" spans="5:24">
      <c r="E380" s="139"/>
      <c r="F380" s="139"/>
      <c r="G380" s="139"/>
      <c r="H380" s="139"/>
      <c r="I380" s="139"/>
      <c r="J380" s="139"/>
      <c r="N380" s="155"/>
      <c r="S380" s="155"/>
      <c r="X380" s="155"/>
    </row>
    <row r="381" spans="5:24">
      <c r="E381" s="139"/>
      <c r="F381" s="139"/>
      <c r="G381" s="139"/>
      <c r="H381" s="139"/>
      <c r="I381" s="139"/>
      <c r="J381" s="139"/>
      <c r="N381" s="155"/>
      <c r="S381" s="155"/>
      <c r="X381" s="155"/>
    </row>
    <row r="382" spans="5:24">
      <c r="E382" s="139"/>
      <c r="F382" s="139"/>
      <c r="G382" s="139"/>
      <c r="H382" s="139"/>
      <c r="I382" s="139"/>
      <c r="J382" s="139"/>
      <c r="N382" s="155"/>
      <c r="S382" s="155"/>
      <c r="X382" s="155"/>
    </row>
    <row r="383" spans="5:24">
      <c r="E383" s="139"/>
      <c r="F383" s="139"/>
      <c r="G383" s="139"/>
      <c r="H383" s="139"/>
      <c r="I383" s="139"/>
      <c r="J383" s="139"/>
      <c r="N383" s="155"/>
      <c r="S383" s="155"/>
      <c r="X383" s="155"/>
    </row>
    <row r="384" spans="5:24">
      <c r="E384" s="139"/>
      <c r="F384" s="139"/>
      <c r="G384" s="139"/>
      <c r="H384" s="139"/>
      <c r="I384" s="139"/>
      <c r="J384" s="139"/>
      <c r="N384" s="155"/>
      <c r="S384" s="155"/>
      <c r="X384" s="155"/>
    </row>
    <row r="385" spans="5:24">
      <c r="E385" s="139"/>
      <c r="F385" s="139"/>
      <c r="G385" s="139"/>
      <c r="H385" s="139"/>
      <c r="I385" s="139"/>
      <c r="J385" s="139"/>
      <c r="N385" s="155"/>
      <c r="S385" s="155"/>
      <c r="X385" s="155"/>
    </row>
    <row r="386" spans="5:24">
      <c r="E386" s="139"/>
      <c r="F386" s="139"/>
      <c r="G386" s="139"/>
      <c r="H386" s="139"/>
      <c r="I386" s="139"/>
      <c r="J386" s="139"/>
      <c r="N386" s="155"/>
      <c r="S386" s="155"/>
      <c r="X386" s="155"/>
    </row>
    <row r="387" spans="5:24">
      <c r="E387" s="139"/>
      <c r="F387" s="139"/>
      <c r="G387" s="139"/>
      <c r="H387" s="139"/>
      <c r="I387" s="139"/>
      <c r="J387" s="139"/>
      <c r="N387" s="155"/>
      <c r="S387" s="155"/>
      <c r="X387" s="155"/>
    </row>
    <row r="388" spans="5:24">
      <c r="E388" s="139"/>
      <c r="F388" s="139"/>
      <c r="G388" s="139"/>
      <c r="H388" s="139"/>
      <c r="I388" s="139"/>
      <c r="J388" s="139"/>
      <c r="N388" s="155"/>
      <c r="S388" s="155"/>
      <c r="X388" s="155"/>
    </row>
    <row r="389" spans="5:24">
      <c r="E389" s="139"/>
      <c r="F389" s="139"/>
      <c r="G389" s="139"/>
      <c r="H389" s="139"/>
      <c r="I389" s="139"/>
      <c r="J389" s="139"/>
      <c r="N389" s="155"/>
      <c r="S389" s="155"/>
      <c r="X389" s="155"/>
    </row>
    <row r="390" spans="5:24">
      <c r="E390" s="139"/>
      <c r="F390" s="139"/>
      <c r="G390" s="139"/>
      <c r="H390" s="139"/>
      <c r="I390" s="139"/>
      <c r="J390" s="139"/>
      <c r="N390" s="155"/>
      <c r="S390" s="155"/>
      <c r="X390" s="155"/>
    </row>
    <row r="391" spans="5:24">
      <c r="E391" s="139"/>
      <c r="F391" s="139"/>
      <c r="G391" s="139"/>
      <c r="H391" s="139"/>
      <c r="I391" s="139"/>
      <c r="J391" s="139"/>
      <c r="N391" s="155"/>
      <c r="S391" s="155"/>
      <c r="X391" s="155"/>
    </row>
    <row r="392" spans="5:24">
      <c r="E392" s="139"/>
      <c r="F392" s="139"/>
      <c r="G392" s="139"/>
      <c r="H392" s="139"/>
      <c r="I392" s="139"/>
      <c r="J392" s="139"/>
      <c r="N392" s="155"/>
      <c r="S392" s="155"/>
      <c r="X392" s="155"/>
    </row>
    <row r="393" spans="5:24">
      <c r="E393" s="139"/>
      <c r="F393" s="139"/>
      <c r="G393" s="139"/>
      <c r="H393" s="139"/>
      <c r="I393" s="139"/>
      <c r="J393" s="139"/>
      <c r="N393" s="155"/>
      <c r="S393" s="155"/>
      <c r="X393" s="155"/>
    </row>
    <row r="394" spans="5:24">
      <c r="E394" s="139"/>
      <c r="F394" s="139"/>
      <c r="G394" s="139"/>
      <c r="H394" s="139"/>
      <c r="I394" s="139"/>
      <c r="J394" s="139"/>
      <c r="N394" s="155"/>
      <c r="S394" s="155"/>
      <c r="X394" s="155"/>
    </row>
    <row r="395" spans="5:24">
      <c r="E395" s="139"/>
      <c r="F395" s="139"/>
      <c r="G395" s="139"/>
      <c r="H395" s="139"/>
      <c r="I395" s="139"/>
      <c r="J395" s="139"/>
      <c r="N395" s="155"/>
      <c r="S395" s="155"/>
      <c r="X395" s="155"/>
    </row>
    <row r="396" spans="5:24">
      <c r="E396" s="139"/>
      <c r="F396" s="139"/>
      <c r="G396" s="139"/>
      <c r="H396" s="139"/>
      <c r="I396" s="139"/>
      <c r="J396" s="139"/>
      <c r="N396" s="155"/>
      <c r="S396" s="155"/>
      <c r="X396" s="155"/>
    </row>
    <row r="397" spans="5:24">
      <c r="E397" s="139"/>
      <c r="F397" s="139"/>
      <c r="G397" s="139"/>
      <c r="H397" s="139"/>
      <c r="I397" s="139"/>
      <c r="J397" s="139"/>
      <c r="N397" s="155"/>
      <c r="S397" s="155"/>
      <c r="X397" s="155"/>
    </row>
    <row r="398" spans="5:24">
      <c r="E398" s="139"/>
      <c r="F398" s="139"/>
      <c r="G398" s="139"/>
      <c r="H398" s="139"/>
      <c r="I398" s="139"/>
      <c r="J398" s="139"/>
      <c r="N398" s="155"/>
      <c r="S398" s="155"/>
      <c r="X398" s="155"/>
    </row>
    <row r="399" spans="5:24">
      <c r="E399" s="139"/>
      <c r="F399" s="139"/>
      <c r="G399" s="139"/>
      <c r="H399" s="139"/>
      <c r="I399" s="139"/>
      <c r="J399" s="139"/>
      <c r="N399" s="155"/>
      <c r="S399" s="155"/>
      <c r="X399" s="155"/>
    </row>
    <row r="400" spans="5:24">
      <c r="E400" s="139"/>
      <c r="F400" s="139"/>
      <c r="G400" s="139"/>
      <c r="H400" s="139"/>
      <c r="I400" s="139"/>
      <c r="J400" s="139"/>
      <c r="N400" s="155"/>
      <c r="S400" s="155"/>
      <c r="X400" s="155"/>
    </row>
    <row r="401" spans="5:24">
      <c r="E401" s="139"/>
      <c r="F401" s="139"/>
      <c r="G401" s="139"/>
      <c r="H401" s="139"/>
      <c r="I401" s="139"/>
      <c r="J401" s="139"/>
      <c r="N401" s="155"/>
      <c r="S401" s="155"/>
      <c r="X401" s="155"/>
    </row>
    <row r="402" spans="5:24">
      <c r="E402" s="139"/>
      <c r="F402" s="139"/>
      <c r="G402" s="139"/>
      <c r="H402" s="139"/>
      <c r="I402" s="139"/>
      <c r="J402" s="139"/>
      <c r="N402" s="155"/>
      <c r="S402" s="155"/>
      <c r="X402" s="155"/>
    </row>
    <row r="403" spans="5:24">
      <c r="E403" s="139"/>
      <c r="F403" s="139"/>
      <c r="G403" s="139"/>
      <c r="H403" s="139"/>
      <c r="I403" s="139"/>
      <c r="J403" s="139"/>
      <c r="N403" s="155"/>
      <c r="S403" s="155"/>
      <c r="X403" s="155"/>
    </row>
    <row r="404" spans="5:24">
      <c r="E404" s="139"/>
      <c r="F404" s="139"/>
      <c r="G404" s="139"/>
      <c r="H404" s="139"/>
      <c r="I404" s="139"/>
      <c r="J404" s="139"/>
      <c r="N404" s="155"/>
      <c r="S404" s="155"/>
      <c r="X404" s="155"/>
    </row>
    <row r="405" spans="5:24">
      <c r="E405" s="139"/>
      <c r="F405" s="139"/>
      <c r="G405" s="139"/>
      <c r="H405" s="139"/>
      <c r="I405" s="139"/>
      <c r="J405" s="139"/>
      <c r="N405" s="155"/>
      <c r="S405" s="155"/>
      <c r="X405" s="155"/>
    </row>
    <row r="406" spans="5:24">
      <c r="E406" s="139"/>
      <c r="F406" s="139"/>
      <c r="G406" s="139"/>
      <c r="H406" s="139"/>
      <c r="I406" s="139"/>
      <c r="J406" s="139"/>
      <c r="N406" s="155"/>
      <c r="S406" s="155"/>
      <c r="X406" s="155"/>
    </row>
    <row r="407" spans="5:24">
      <c r="E407" s="139"/>
      <c r="F407" s="139"/>
      <c r="G407" s="139"/>
      <c r="H407" s="139"/>
      <c r="I407" s="139"/>
      <c r="J407" s="139"/>
      <c r="N407" s="155"/>
      <c r="S407" s="155"/>
      <c r="X407" s="155"/>
    </row>
    <row r="408" spans="5:24">
      <c r="E408" s="139"/>
      <c r="F408" s="139"/>
      <c r="G408" s="139"/>
      <c r="H408" s="139"/>
      <c r="I408" s="139"/>
      <c r="J408" s="139"/>
      <c r="N408" s="155"/>
      <c r="S408" s="155"/>
      <c r="X408" s="155"/>
    </row>
    <row r="409" spans="5:24">
      <c r="E409" s="139"/>
      <c r="F409" s="139"/>
      <c r="G409" s="139"/>
      <c r="H409" s="139"/>
      <c r="I409" s="139"/>
      <c r="J409" s="139"/>
      <c r="N409" s="155"/>
      <c r="S409" s="155"/>
      <c r="X409" s="155"/>
    </row>
    <row r="410" spans="5:24">
      <c r="E410" s="139"/>
      <c r="F410" s="139"/>
      <c r="G410" s="139"/>
      <c r="H410" s="139"/>
      <c r="I410" s="139"/>
      <c r="J410" s="139"/>
      <c r="N410" s="155"/>
      <c r="S410" s="155"/>
      <c r="X410" s="155"/>
    </row>
    <row r="411" spans="5:24">
      <c r="E411" s="139"/>
      <c r="F411" s="139"/>
      <c r="G411" s="139"/>
      <c r="H411" s="139"/>
      <c r="I411" s="139"/>
      <c r="J411" s="139"/>
      <c r="N411" s="155"/>
      <c r="S411" s="155"/>
      <c r="X411" s="155"/>
    </row>
    <row r="412" spans="5:24">
      <c r="E412" s="139"/>
      <c r="F412" s="139"/>
      <c r="G412" s="139"/>
      <c r="H412" s="139"/>
      <c r="I412" s="139"/>
      <c r="J412" s="139"/>
      <c r="N412" s="155"/>
      <c r="S412" s="155"/>
      <c r="X412" s="155"/>
    </row>
    <row r="413" spans="5:24">
      <c r="E413" s="139"/>
      <c r="F413" s="139"/>
      <c r="G413" s="139"/>
      <c r="H413" s="139"/>
      <c r="I413" s="139"/>
      <c r="J413" s="139"/>
      <c r="N413" s="155"/>
      <c r="S413" s="155"/>
      <c r="X413" s="155"/>
    </row>
    <row r="414" spans="5:24">
      <c r="E414" s="139"/>
      <c r="F414" s="139"/>
      <c r="G414" s="139"/>
      <c r="H414" s="139"/>
      <c r="I414" s="139"/>
      <c r="J414" s="139"/>
      <c r="N414" s="155"/>
      <c r="S414" s="155"/>
      <c r="X414" s="155"/>
    </row>
    <row r="415" spans="5:24">
      <c r="E415" s="139"/>
      <c r="F415" s="139"/>
      <c r="G415" s="139"/>
      <c r="H415" s="139"/>
      <c r="I415" s="139"/>
      <c r="J415" s="139"/>
      <c r="N415" s="155"/>
      <c r="S415" s="155"/>
      <c r="X415" s="155"/>
    </row>
    <row r="416" spans="5:24">
      <c r="E416" s="139"/>
      <c r="F416" s="139"/>
      <c r="G416" s="139"/>
      <c r="H416" s="139"/>
      <c r="I416" s="139"/>
      <c r="J416" s="139"/>
      <c r="N416" s="155"/>
      <c r="S416" s="155"/>
      <c r="X416" s="155"/>
    </row>
    <row r="417" spans="5:24">
      <c r="E417" s="139"/>
      <c r="F417" s="139"/>
      <c r="G417" s="139"/>
      <c r="H417" s="139"/>
      <c r="I417" s="139"/>
      <c r="J417" s="139"/>
      <c r="N417" s="155"/>
      <c r="S417" s="155"/>
      <c r="X417" s="155"/>
    </row>
    <row r="418" spans="5:24">
      <c r="E418" s="139"/>
      <c r="F418" s="139"/>
      <c r="G418" s="139"/>
      <c r="H418" s="139"/>
      <c r="I418" s="139"/>
      <c r="J418" s="139"/>
      <c r="N418" s="155"/>
      <c r="S418" s="155"/>
      <c r="X418" s="155"/>
    </row>
    <row r="419" spans="5:24">
      <c r="E419" s="139"/>
      <c r="F419" s="139"/>
      <c r="G419" s="139"/>
      <c r="H419" s="139"/>
      <c r="I419" s="139"/>
      <c r="J419" s="139"/>
      <c r="N419" s="155"/>
      <c r="S419" s="155"/>
      <c r="X419" s="155"/>
    </row>
    <row r="420" spans="5:24">
      <c r="E420" s="139"/>
      <c r="F420" s="139"/>
      <c r="G420" s="139"/>
      <c r="H420" s="139"/>
      <c r="I420" s="139"/>
      <c r="J420" s="139"/>
      <c r="N420" s="155"/>
      <c r="S420" s="155"/>
      <c r="X420" s="155"/>
    </row>
    <row r="421" spans="5:24">
      <c r="E421" s="139"/>
      <c r="F421" s="139"/>
      <c r="G421" s="139"/>
      <c r="H421" s="139"/>
      <c r="I421" s="139"/>
      <c r="J421" s="139"/>
      <c r="N421" s="155"/>
      <c r="S421" s="155"/>
      <c r="X421" s="155"/>
    </row>
    <row r="422" spans="5:24">
      <c r="E422" s="139"/>
      <c r="F422" s="139"/>
      <c r="G422" s="139"/>
      <c r="H422" s="139"/>
      <c r="I422" s="139"/>
      <c r="J422" s="139"/>
      <c r="N422" s="155"/>
      <c r="S422" s="155"/>
      <c r="X422" s="155"/>
    </row>
    <row r="423" spans="5:24">
      <c r="E423" s="139"/>
      <c r="F423" s="139"/>
      <c r="G423" s="139"/>
      <c r="H423" s="139"/>
      <c r="I423" s="139"/>
      <c r="J423" s="139"/>
      <c r="N423" s="155"/>
      <c r="S423" s="155"/>
      <c r="X423" s="155"/>
    </row>
    <row r="424" spans="5:24">
      <c r="E424" s="139"/>
      <c r="F424" s="139"/>
      <c r="G424" s="139"/>
      <c r="H424" s="139"/>
      <c r="I424" s="139"/>
      <c r="J424" s="139"/>
      <c r="N424" s="155"/>
      <c r="S424" s="155"/>
      <c r="X424" s="155"/>
    </row>
    <row r="425" spans="5:24">
      <c r="E425" s="139"/>
      <c r="F425" s="139"/>
      <c r="G425" s="139"/>
      <c r="H425" s="139"/>
      <c r="I425" s="139"/>
      <c r="J425" s="139"/>
      <c r="N425" s="155"/>
      <c r="S425" s="155"/>
      <c r="X425" s="155"/>
    </row>
    <row r="426" spans="5:24">
      <c r="E426" s="139"/>
      <c r="F426" s="139"/>
      <c r="G426" s="139"/>
      <c r="H426" s="139"/>
      <c r="I426" s="139"/>
      <c r="J426" s="139"/>
      <c r="N426" s="155"/>
      <c r="S426" s="155"/>
      <c r="X426" s="155"/>
    </row>
    <row r="427" spans="5:24">
      <c r="E427" s="139"/>
      <c r="F427" s="139"/>
      <c r="G427" s="139"/>
      <c r="H427" s="139"/>
      <c r="I427" s="139"/>
      <c r="J427" s="139"/>
      <c r="N427" s="155"/>
      <c r="S427" s="155"/>
      <c r="X427" s="155"/>
    </row>
    <row r="428" spans="5:24">
      <c r="E428" s="139"/>
      <c r="F428" s="139"/>
      <c r="G428" s="139"/>
      <c r="H428" s="139"/>
      <c r="I428" s="139"/>
      <c r="J428" s="139"/>
      <c r="N428" s="155"/>
      <c r="S428" s="155"/>
      <c r="X428" s="155"/>
    </row>
    <row r="429" spans="5:24">
      <c r="E429" s="139"/>
      <c r="F429" s="139"/>
      <c r="G429" s="139"/>
      <c r="H429" s="139"/>
      <c r="I429" s="139"/>
      <c r="J429" s="139"/>
      <c r="N429" s="155"/>
      <c r="S429" s="155"/>
      <c r="X429" s="155"/>
    </row>
    <row r="430" spans="5:24">
      <c r="E430" s="139"/>
      <c r="F430" s="139"/>
      <c r="G430" s="139"/>
      <c r="H430" s="139"/>
      <c r="I430" s="139"/>
      <c r="J430" s="139"/>
      <c r="N430" s="155"/>
      <c r="S430" s="155"/>
      <c r="X430" s="155"/>
    </row>
    <row r="431" spans="5:24">
      <c r="E431" s="139"/>
      <c r="F431" s="139"/>
      <c r="G431" s="139"/>
      <c r="H431" s="139"/>
      <c r="I431" s="139"/>
      <c r="J431" s="139"/>
      <c r="N431" s="155"/>
      <c r="S431" s="155"/>
      <c r="X431" s="155"/>
    </row>
    <row r="432" spans="5:24">
      <c r="E432" s="139"/>
      <c r="F432" s="139"/>
      <c r="G432" s="139"/>
      <c r="H432" s="139"/>
      <c r="I432" s="139"/>
      <c r="J432" s="139"/>
      <c r="N432" s="155"/>
      <c r="S432" s="155"/>
      <c r="X432" s="155"/>
    </row>
    <row r="433" spans="5:24">
      <c r="E433" s="139"/>
      <c r="F433" s="139"/>
      <c r="G433" s="139"/>
      <c r="H433" s="139"/>
      <c r="I433" s="139"/>
      <c r="J433" s="139"/>
      <c r="N433" s="155"/>
      <c r="S433" s="155"/>
      <c r="X433" s="155"/>
    </row>
    <row r="434" spans="5:24">
      <c r="E434" s="139"/>
      <c r="F434" s="139"/>
      <c r="G434" s="139"/>
      <c r="H434" s="139"/>
      <c r="I434" s="139"/>
      <c r="J434" s="139"/>
      <c r="N434" s="155"/>
      <c r="S434" s="155"/>
      <c r="X434" s="155"/>
    </row>
    <row r="435" spans="5:24">
      <c r="E435" s="139"/>
      <c r="F435" s="139"/>
      <c r="G435" s="139"/>
      <c r="H435" s="139"/>
      <c r="I435" s="139"/>
      <c r="J435" s="139"/>
      <c r="N435" s="155"/>
      <c r="S435" s="155"/>
      <c r="X435" s="155"/>
    </row>
    <row r="436" spans="5:24">
      <c r="E436" s="139"/>
      <c r="F436" s="139"/>
      <c r="G436" s="139"/>
      <c r="H436" s="139"/>
      <c r="I436" s="139"/>
      <c r="J436" s="139"/>
      <c r="N436" s="155"/>
      <c r="S436" s="155"/>
      <c r="X436" s="155"/>
    </row>
    <row r="437" spans="5:24">
      <c r="E437" s="139"/>
      <c r="F437" s="139"/>
      <c r="G437" s="139"/>
      <c r="H437" s="139"/>
      <c r="I437" s="139"/>
      <c r="J437" s="139"/>
      <c r="N437" s="155"/>
      <c r="S437" s="155"/>
      <c r="X437" s="155"/>
    </row>
    <row r="438" spans="5:24">
      <c r="E438" s="139"/>
      <c r="F438" s="139"/>
      <c r="G438" s="139"/>
      <c r="H438" s="139"/>
      <c r="I438" s="139"/>
      <c r="J438" s="139"/>
      <c r="N438" s="155"/>
      <c r="S438" s="155"/>
      <c r="X438" s="155"/>
    </row>
    <row r="439" spans="5:24">
      <c r="E439" s="139"/>
      <c r="F439" s="139"/>
      <c r="G439" s="139"/>
      <c r="H439" s="139"/>
      <c r="I439" s="139"/>
      <c r="J439" s="139"/>
      <c r="N439" s="155"/>
      <c r="S439" s="155"/>
      <c r="X439" s="155"/>
    </row>
    <row r="440" spans="5:24">
      <c r="E440" s="139"/>
      <c r="F440" s="139"/>
      <c r="G440" s="139"/>
      <c r="H440" s="139"/>
      <c r="I440" s="139"/>
      <c r="J440" s="139"/>
      <c r="N440" s="155"/>
      <c r="S440" s="155"/>
      <c r="X440" s="155"/>
    </row>
    <row r="441" spans="5:24">
      <c r="E441" s="139"/>
      <c r="F441" s="139"/>
      <c r="G441" s="139"/>
      <c r="H441" s="139"/>
      <c r="I441" s="139"/>
      <c r="J441" s="139"/>
      <c r="N441" s="155"/>
      <c r="S441" s="155"/>
      <c r="X441" s="155"/>
    </row>
    <row r="442" spans="5:24">
      <c r="E442" s="139"/>
      <c r="F442" s="139"/>
      <c r="G442" s="139"/>
      <c r="H442" s="139"/>
      <c r="I442" s="139"/>
      <c r="J442" s="139"/>
      <c r="N442" s="155"/>
      <c r="S442" s="155"/>
      <c r="X442" s="155"/>
    </row>
    <row r="443" spans="5:24">
      <c r="E443" s="139"/>
      <c r="F443" s="139"/>
      <c r="G443" s="139"/>
      <c r="H443" s="139"/>
      <c r="I443" s="139"/>
      <c r="J443" s="139"/>
      <c r="N443" s="155"/>
      <c r="S443" s="155"/>
      <c r="X443" s="155"/>
    </row>
    <row r="444" spans="5:24">
      <c r="E444" s="139"/>
      <c r="F444" s="139"/>
      <c r="G444" s="139"/>
      <c r="H444" s="139"/>
      <c r="I444" s="139"/>
      <c r="J444" s="139"/>
      <c r="N444" s="155"/>
      <c r="S444" s="155"/>
      <c r="X444" s="155"/>
    </row>
    <row r="445" spans="5:24">
      <c r="E445" s="139"/>
      <c r="F445" s="139"/>
      <c r="G445" s="139"/>
      <c r="H445" s="139"/>
      <c r="I445" s="139"/>
      <c r="J445" s="139"/>
      <c r="N445" s="155"/>
      <c r="S445" s="155"/>
      <c r="X445" s="155"/>
    </row>
    <row r="446" spans="5:24">
      <c r="E446" s="139"/>
      <c r="F446" s="139"/>
      <c r="G446" s="139"/>
      <c r="H446" s="139"/>
      <c r="I446" s="139"/>
      <c r="J446" s="139"/>
      <c r="N446" s="155"/>
      <c r="S446" s="155"/>
      <c r="X446" s="155"/>
    </row>
    <row r="447" spans="5:24">
      <c r="E447" s="139"/>
      <c r="F447" s="139"/>
      <c r="G447" s="139"/>
      <c r="H447" s="139"/>
      <c r="I447" s="139"/>
      <c r="J447" s="139"/>
      <c r="N447" s="155"/>
      <c r="S447" s="155"/>
      <c r="X447" s="155"/>
    </row>
    <row r="448" spans="5:24">
      <c r="E448" s="139"/>
      <c r="F448" s="139"/>
      <c r="G448" s="139"/>
      <c r="H448" s="139"/>
      <c r="I448" s="139"/>
      <c r="J448" s="139"/>
      <c r="N448" s="155"/>
      <c r="S448" s="155"/>
      <c r="X448" s="155"/>
    </row>
    <row r="449" spans="5:24">
      <c r="E449" s="139"/>
      <c r="F449" s="139"/>
      <c r="G449" s="139"/>
      <c r="H449" s="139"/>
      <c r="I449" s="139"/>
      <c r="J449" s="139"/>
      <c r="N449" s="155"/>
      <c r="S449" s="155"/>
      <c r="X449" s="155"/>
    </row>
    <row r="450" spans="5:24">
      <c r="E450" s="139"/>
      <c r="F450" s="139"/>
      <c r="G450" s="139"/>
      <c r="H450" s="139"/>
      <c r="I450" s="139"/>
      <c r="J450" s="139"/>
      <c r="N450" s="155"/>
      <c r="S450" s="155"/>
      <c r="X450" s="155"/>
    </row>
    <row r="451" spans="5:24">
      <c r="E451" s="139"/>
      <c r="F451" s="139"/>
      <c r="G451" s="139"/>
      <c r="H451" s="139"/>
      <c r="I451" s="139"/>
      <c r="J451" s="139"/>
      <c r="N451" s="155"/>
      <c r="S451" s="155"/>
      <c r="X451" s="155"/>
    </row>
    <row r="452" spans="5:24">
      <c r="E452" s="139"/>
      <c r="F452" s="139"/>
      <c r="G452" s="139"/>
      <c r="H452" s="139"/>
      <c r="I452" s="139"/>
      <c r="J452" s="139"/>
      <c r="N452" s="155"/>
      <c r="S452" s="155"/>
      <c r="X452" s="155"/>
    </row>
    <row r="453" spans="5:24">
      <c r="E453" s="139"/>
      <c r="F453" s="139"/>
      <c r="G453" s="139"/>
      <c r="H453" s="139"/>
      <c r="I453" s="139"/>
      <c r="J453" s="139"/>
      <c r="N453" s="155"/>
      <c r="S453" s="155"/>
      <c r="X453" s="155"/>
    </row>
    <row r="454" spans="5:24">
      <c r="E454" s="139"/>
      <c r="F454" s="139"/>
      <c r="G454" s="139"/>
      <c r="H454" s="139"/>
      <c r="I454" s="139"/>
      <c r="J454" s="139"/>
      <c r="N454" s="155"/>
      <c r="S454" s="155"/>
      <c r="X454" s="155"/>
    </row>
    <row r="455" spans="5:24">
      <c r="E455" s="139"/>
      <c r="F455" s="139"/>
      <c r="G455" s="139"/>
      <c r="H455" s="139"/>
      <c r="I455" s="139"/>
      <c r="J455" s="139"/>
      <c r="N455" s="155"/>
      <c r="S455" s="155"/>
      <c r="X455" s="155"/>
    </row>
    <row r="456" spans="5:24">
      <c r="E456" s="139"/>
      <c r="F456" s="139"/>
      <c r="G456" s="139"/>
      <c r="H456" s="139"/>
      <c r="I456" s="139"/>
      <c r="J456" s="139"/>
      <c r="N456" s="155"/>
      <c r="S456" s="155"/>
      <c r="X456" s="155"/>
    </row>
    <row r="457" spans="5:24">
      <c r="E457" s="139"/>
      <c r="F457" s="139"/>
      <c r="G457" s="139"/>
      <c r="H457" s="139"/>
      <c r="I457" s="139"/>
      <c r="J457" s="139"/>
      <c r="N457" s="155"/>
      <c r="S457" s="155"/>
      <c r="X457" s="155"/>
    </row>
    <row r="458" spans="5:24">
      <c r="E458" s="139"/>
      <c r="F458" s="139"/>
      <c r="G458" s="139"/>
      <c r="H458" s="139"/>
      <c r="I458" s="139"/>
      <c r="J458" s="139"/>
      <c r="N458" s="155"/>
      <c r="S458" s="155"/>
      <c r="X458" s="155"/>
    </row>
    <row r="459" spans="5:24">
      <c r="E459" s="139"/>
      <c r="F459" s="139"/>
      <c r="G459" s="139"/>
      <c r="H459" s="139"/>
      <c r="I459" s="139"/>
      <c r="J459" s="139"/>
      <c r="N459" s="155"/>
      <c r="S459" s="155"/>
      <c r="X459" s="155"/>
    </row>
    <row r="460" spans="5:24">
      <c r="E460" s="139"/>
      <c r="F460" s="139"/>
      <c r="G460" s="139"/>
      <c r="H460" s="139"/>
      <c r="I460" s="139"/>
      <c r="J460" s="139"/>
      <c r="N460" s="155"/>
      <c r="S460" s="155"/>
      <c r="X460" s="155"/>
    </row>
    <row r="461" spans="5:24">
      <c r="E461" s="139"/>
      <c r="F461" s="139"/>
      <c r="G461" s="139"/>
      <c r="H461" s="139"/>
      <c r="I461" s="139"/>
      <c r="J461" s="139"/>
      <c r="N461" s="155"/>
      <c r="S461" s="155"/>
      <c r="X461" s="155"/>
    </row>
    <row r="462" spans="5:24">
      <c r="E462" s="139"/>
      <c r="F462" s="139"/>
      <c r="G462" s="139"/>
      <c r="H462" s="139"/>
      <c r="I462" s="139"/>
      <c r="J462" s="139"/>
      <c r="N462" s="155"/>
      <c r="S462" s="155"/>
      <c r="X462" s="155"/>
    </row>
    <row r="463" spans="5:24">
      <c r="E463" s="139"/>
      <c r="F463" s="139"/>
      <c r="G463" s="139"/>
      <c r="H463" s="139"/>
      <c r="I463" s="139"/>
      <c r="J463" s="139"/>
      <c r="N463" s="155"/>
      <c r="S463" s="155"/>
      <c r="X463" s="155"/>
    </row>
    <row r="464" spans="5:24">
      <c r="E464" s="139"/>
      <c r="F464" s="139"/>
      <c r="G464" s="139"/>
      <c r="H464" s="139"/>
      <c r="I464" s="139"/>
      <c r="J464" s="139"/>
      <c r="N464" s="155"/>
      <c r="S464" s="155"/>
      <c r="X464" s="155"/>
    </row>
    <row r="465" spans="5:24">
      <c r="E465" s="139"/>
      <c r="F465" s="139"/>
      <c r="G465" s="139"/>
      <c r="H465" s="139"/>
      <c r="I465" s="139"/>
      <c r="J465" s="139"/>
      <c r="N465" s="155"/>
      <c r="S465" s="155"/>
      <c r="X465" s="155"/>
    </row>
    <row r="466" spans="5:24">
      <c r="E466" s="139"/>
      <c r="F466" s="139"/>
      <c r="G466" s="139"/>
      <c r="H466" s="139"/>
      <c r="I466" s="139"/>
      <c r="J466" s="139"/>
      <c r="N466" s="155"/>
      <c r="S466" s="155"/>
      <c r="X466" s="155"/>
    </row>
    <row r="467" spans="5:24">
      <c r="E467" s="139"/>
      <c r="F467" s="139"/>
      <c r="G467" s="139"/>
      <c r="H467" s="139"/>
      <c r="I467" s="139"/>
      <c r="J467" s="139"/>
      <c r="N467" s="155"/>
      <c r="S467" s="155"/>
      <c r="X467" s="155"/>
    </row>
    <row r="468" spans="5:24">
      <c r="E468" s="139"/>
      <c r="F468" s="139"/>
      <c r="G468" s="139"/>
      <c r="H468" s="139"/>
      <c r="I468" s="139"/>
      <c r="J468" s="139"/>
      <c r="N468" s="155"/>
      <c r="S468" s="155"/>
      <c r="X468" s="155"/>
    </row>
    <row r="469" spans="5:24">
      <c r="E469" s="139"/>
      <c r="F469" s="139"/>
      <c r="G469" s="139"/>
      <c r="H469" s="139"/>
      <c r="I469" s="139"/>
      <c r="J469" s="139"/>
      <c r="N469" s="155"/>
      <c r="S469" s="155"/>
      <c r="X469" s="155"/>
    </row>
    <row r="470" spans="5:24">
      <c r="E470" s="139"/>
      <c r="F470" s="139"/>
      <c r="G470" s="139"/>
      <c r="H470" s="139"/>
      <c r="I470" s="139"/>
      <c r="J470" s="139"/>
      <c r="N470" s="155"/>
      <c r="S470" s="155"/>
      <c r="X470" s="155"/>
    </row>
    <row r="471" spans="5:24">
      <c r="E471" s="139"/>
      <c r="F471" s="139"/>
      <c r="G471" s="139"/>
      <c r="H471" s="139"/>
      <c r="I471" s="139"/>
      <c r="J471" s="139"/>
      <c r="N471" s="155"/>
      <c r="S471" s="155"/>
      <c r="X471" s="155"/>
    </row>
    <row r="472" spans="5:24">
      <c r="E472" s="139"/>
      <c r="F472" s="139"/>
      <c r="G472" s="139"/>
      <c r="H472" s="139"/>
      <c r="I472" s="139"/>
      <c r="J472" s="139"/>
      <c r="N472" s="155"/>
      <c r="S472" s="155"/>
      <c r="X472" s="155"/>
    </row>
    <row r="473" spans="5:24">
      <c r="E473" s="139"/>
      <c r="F473" s="139"/>
      <c r="G473" s="139"/>
      <c r="H473" s="139"/>
      <c r="I473" s="139"/>
      <c r="J473" s="139"/>
      <c r="N473" s="155"/>
      <c r="S473" s="155"/>
      <c r="X473" s="155"/>
    </row>
    <row r="474" spans="5:24">
      <c r="E474" s="139"/>
      <c r="F474" s="139"/>
      <c r="G474" s="139"/>
      <c r="H474" s="139"/>
      <c r="I474" s="139"/>
      <c r="J474" s="139"/>
      <c r="N474" s="155"/>
      <c r="S474" s="155"/>
      <c r="X474" s="155"/>
    </row>
    <row r="475" spans="5:24">
      <c r="E475" s="139"/>
      <c r="F475" s="139"/>
      <c r="G475" s="139"/>
      <c r="H475" s="139"/>
      <c r="I475" s="139"/>
      <c r="J475" s="139"/>
      <c r="N475" s="155"/>
      <c r="S475" s="155"/>
      <c r="X475" s="155"/>
    </row>
    <row r="476" spans="5:24">
      <c r="E476" s="139"/>
      <c r="F476" s="139"/>
      <c r="G476" s="139"/>
      <c r="H476" s="139"/>
      <c r="I476" s="139"/>
      <c r="J476" s="139"/>
      <c r="N476" s="155"/>
      <c r="S476" s="155"/>
      <c r="X476" s="155"/>
    </row>
    <row r="477" spans="5:24">
      <c r="E477" s="139"/>
      <c r="F477" s="139"/>
      <c r="G477" s="139"/>
      <c r="H477" s="139"/>
      <c r="I477" s="139"/>
      <c r="J477" s="139"/>
      <c r="N477" s="155"/>
      <c r="S477" s="155"/>
      <c r="X477" s="155"/>
    </row>
    <row r="478" spans="5:24">
      <c r="E478" s="139"/>
      <c r="F478" s="139"/>
      <c r="G478" s="139"/>
      <c r="H478" s="139"/>
      <c r="I478" s="139"/>
      <c r="J478" s="139"/>
      <c r="N478" s="155"/>
      <c r="S478" s="155"/>
      <c r="X478" s="155"/>
    </row>
    <row r="479" spans="5:24">
      <c r="E479" s="139"/>
      <c r="F479" s="139"/>
      <c r="G479" s="139"/>
      <c r="H479" s="139"/>
      <c r="I479" s="139"/>
      <c r="J479" s="139"/>
      <c r="N479" s="155"/>
      <c r="S479" s="155"/>
      <c r="X479" s="155"/>
    </row>
    <row r="480" spans="5:24">
      <c r="E480" s="139"/>
      <c r="F480" s="139"/>
      <c r="G480" s="139"/>
      <c r="H480" s="139"/>
      <c r="I480" s="139"/>
      <c r="J480" s="139"/>
      <c r="N480" s="155"/>
      <c r="S480" s="155"/>
      <c r="X480" s="155"/>
    </row>
    <row r="481" spans="5:24">
      <c r="E481" s="139"/>
      <c r="F481" s="139"/>
      <c r="G481" s="139"/>
      <c r="H481" s="139"/>
      <c r="I481" s="139"/>
      <c r="J481" s="139"/>
      <c r="N481" s="155"/>
      <c r="S481" s="155"/>
      <c r="X481" s="155"/>
    </row>
    <row r="482" spans="5:24">
      <c r="E482" s="139"/>
      <c r="F482" s="139"/>
      <c r="G482" s="139"/>
      <c r="H482" s="139"/>
      <c r="I482" s="139"/>
      <c r="J482" s="139"/>
      <c r="N482" s="155"/>
      <c r="S482" s="155"/>
      <c r="X482" s="155"/>
    </row>
    <row r="483" spans="5:24">
      <c r="E483" s="139"/>
      <c r="F483" s="139"/>
      <c r="G483" s="139"/>
      <c r="H483" s="139"/>
      <c r="I483" s="139"/>
      <c r="J483" s="139"/>
      <c r="N483" s="155"/>
      <c r="S483" s="155"/>
      <c r="X483" s="155"/>
    </row>
    <row r="484" spans="5:24">
      <c r="E484" s="139"/>
      <c r="F484" s="139"/>
      <c r="G484" s="139"/>
      <c r="H484" s="139"/>
      <c r="I484" s="139"/>
      <c r="J484" s="139"/>
      <c r="N484" s="155"/>
      <c r="S484" s="155"/>
      <c r="X484" s="155"/>
    </row>
    <row r="485" spans="5:24">
      <c r="E485" s="139"/>
      <c r="F485" s="139"/>
      <c r="G485" s="139"/>
      <c r="H485" s="139"/>
      <c r="I485" s="139"/>
      <c r="J485" s="139"/>
      <c r="N485" s="155"/>
      <c r="S485" s="155"/>
      <c r="X485" s="155"/>
    </row>
    <row r="486" spans="5:24">
      <c r="E486" s="139"/>
      <c r="F486" s="139"/>
      <c r="G486" s="139"/>
      <c r="H486" s="139"/>
      <c r="I486" s="139"/>
      <c r="J486" s="139"/>
      <c r="N486" s="155"/>
      <c r="S486" s="155"/>
      <c r="X486" s="155"/>
    </row>
    <row r="487" spans="5:24">
      <c r="E487" s="139"/>
      <c r="F487" s="139"/>
      <c r="G487" s="139"/>
      <c r="H487" s="139"/>
      <c r="I487" s="139"/>
      <c r="J487" s="139"/>
      <c r="N487" s="155"/>
      <c r="S487" s="155"/>
      <c r="X487" s="155"/>
    </row>
    <row r="488" spans="5:24">
      <c r="E488" s="139"/>
      <c r="F488" s="139"/>
      <c r="G488" s="139"/>
      <c r="H488" s="139"/>
      <c r="I488" s="139"/>
      <c r="J488" s="139"/>
      <c r="N488" s="155"/>
      <c r="S488" s="155"/>
      <c r="X488" s="155"/>
    </row>
    <row r="489" spans="5:24">
      <c r="E489" s="139"/>
      <c r="F489" s="139"/>
      <c r="G489" s="139"/>
      <c r="H489" s="139"/>
      <c r="I489" s="139"/>
      <c r="J489" s="139"/>
      <c r="N489" s="155"/>
      <c r="S489" s="155"/>
      <c r="X489" s="155"/>
    </row>
    <row r="490" spans="5:24">
      <c r="E490" s="139"/>
      <c r="F490" s="139"/>
      <c r="G490" s="139"/>
      <c r="H490" s="139"/>
      <c r="I490" s="139"/>
      <c r="J490" s="139"/>
      <c r="N490" s="155"/>
      <c r="S490" s="155"/>
      <c r="X490" s="155"/>
    </row>
    <row r="491" spans="5:24">
      <c r="E491" s="139"/>
      <c r="F491" s="139"/>
      <c r="G491" s="139"/>
      <c r="H491" s="139"/>
      <c r="I491" s="139"/>
      <c r="J491" s="139"/>
      <c r="N491" s="155"/>
      <c r="S491" s="155"/>
      <c r="X491" s="155"/>
    </row>
    <row r="492" spans="5:24">
      <c r="E492" s="139"/>
      <c r="F492" s="139"/>
      <c r="G492" s="139"/>
      <c r="H492" s="139"/>
      <c r="I492" s="139"/>
      <c r="J492" s="139"/>
      <c r="N492" s="155"/>
      <c r="S492" s="155"/>
      <c r="X492" s="155"/>
    </row>
    <row r="493" spans="5:24">
      <c r="E493" s="139"/>
      <c r="F493" s="139"/>
      <c r="G493" s="139"/>
      <c r="H493" s="139"/>
      <c r="I493" s="139"/>
      <c r="J493" s="139"/>
      <c r="N493" s="155"/>
      <c r="S493" s="155"/>
      <c r="X493" s="155"/>
    </row>
    <row r="494" spans="5:24">
      <c r="E494" s="139"/>
      <c r="F494" s="139"/>
      <c r="G494" s="139"/>
      <c r="H494" s="139"/>
      <c r="I494" s="139"/>
      <c r="J494" s="139"/>
      <c r="N494" s="155"/>
      <c r="S494" s="155"/>
      <c r="X494" s="155"/>
    </row>
    <row r="495" spans="5:24">
      <c r="E495" s="139"/>
      <c r="F495" s="139"/>
      <c r="G495" s="139"/>
      <c r="H495" s="139"/>
      <c r="I495" s="139"/>
      <c r="J495" s="139"/>
      <c r="N495" s="155"/>
      <c r="S495" s="155"/>
      <c r="X495" s="155"/>
    </row>
    <row r="496" spans="5:24">
      <c r="E496" s="139"/>
      <c r="F496" s="139"/>
      <c r="G496" s="139"/>
      <c r="H496" s="139"/>
      <c r="I496" s="139"/>
      <c r="J496" s="139"/>
      <c r="N496" s="155"/>
      <c r="S496" s="155"/>
      <c r="X496" s="155"/>
    </row>
    <row r="497" spans="5:24">
      <c r="E497" s="139"/>
      <c r="F497" s="139"/>
      <c r="G497" s="139"/>
      <c r="H497" s="139"/>
      <c r="I497" s="139"/>
      <c r="J497" s="139"/>
      <c r="N497" s="155"/>
      <c r="S497" s="155"/>
      <c r="X497" s="155"/>
    </row>
    <row r="498" spans="5:24">
      <c r="E498" s="139"/>
      <c r="F498" s="139"/>
      <c r="G498" s="139"/>
      <c r="H498" s="139"/>
      <c r="I498" s="139"/>
      <c r="J498" s="139"/>
      <c r="N498" s="155"/>
      <c r="S498" s="155"/>
      <c r="X498" s="155"/>
    </row>
    <row r="499" spans="5:24">
      <c r="E499" s="139"/>
      <c r="F499" s="139"/>
      <c r="G499" s="139"/>
      <c r="H499" s="139"/>
      <c r="I499" s="139"/>
      <c r="J499" s="139"/>
      <c r="N499" s="155"/>
      <c r="S499" s="155"/>
      <c r="X499" s="155"/>
    </row>
    <row r="500" spans="5:24">
      <c r="E500" s="139"/>
      <c r="F500" s="139"/>
      <c r="G500" s="139"/>
      <c r="H500" s="139"/>
      <c r="I500" s="139"/>
      <c r="J500" s="139"/>
      <c r="N500" s="155"/>
      <c r="S500" s="155"/>
      <c r="X500" s="155"/>
    </row>
    <row r="501" spans="5:24">
      <c r="E501" s="139"/>
      <c r="F501" s="139"/>
      <c r="G501" s="139"/>
      <c r="H501" s="139"/>
      <c r="I501" s="139"/>
      <c r="J501" s="139"/>
      <c r="N501" s="155"/>
      <c r="S501" s="155"/>
      <c r="X501" s="155"/>
    </row>
    <row r="502" spans="5:24">
      <c r="E502" s="139"/>
      <c r="F502" s="139"/>
      <c r="G502" s="139"/>
      <c r="H502" s="139"/>
      <c r="I502" s="139"/>
      <c r="J502" s="139"/>
      <c r="N502" s="155"/>
      <c r="S502" s="155"/>
      <c r="X502" s="155"/>
    </row>
    <row r="503" spans="5:24">
      <c r="E503" s="139"/>
      <c r="F503" s="139"/>
      <c r="G503" s="139"/>
      <c r="H503" s="139"/>
      <c r="I503" s="139"/>
      <c r="J503" s="139"/>
      <c r="N503" s="155"/>
      <c r="S503" s="155"/>
      <c r="X503" s="155"/>
    </row>
    <row r="504" spans="5:24">
      <c r="E504" s="139"/>
      <c r="F504" s="139"/>
      <c r="G504" s="139"/>
      <c r="H504" s="139"/>
      <c r="I504" s="139"/>
      <c r="J504" s="139"/>
      <c r="N504" s="155"/>
      <c r="S504" s="155"/>
      <c r="X504" s="155"/>
    </row>
    <row r="505" spans="5:24">
      <c r="E505" s="139"/>
      <c r="F505" s="139"/>
      <c r="G505" s="139"/>
      <c r="H505" s="139"/>
      <c r="I505" s="139"/>
      <c r="J505" s="139"/>
      <c r="N505" s="155"/>
      <c r="S505" s="155"/>
      <c r="X505" s="155"/>
    </row>
    <row r="506" spans="5:24">
      <c r="E506" s="139"/>
      <c r="F506" s="139"/>
      <c r="G506" s="139"/>
      <c r="H506" s="139"/>
      <c r="I506" s="139"/>
      <c r="J506" s="139"/>
      <c r="N506" s="155"/>
      <c r="S506" s="155"/>
      <c r="X506" s="155"/>
    </row>
    <row r="507" spans="5:24">
      <c r="E507" s="139"/>
      <c r="F507" s="139"/>
      <c r="G507" s="139"/>
      <c r="H507" s="139"/>
      <c r="I507" s="139"/>
      <c r="J507" s="139"/>
      <c r="N507" s="155"/>
      <c r="S507" s="155"/>
      <c r="X507" s="155"/>
    </row>
    <row r="508" spans="5:24">
      <c r="E508" s="139"/>
      <c r="F508" s="139"/>
      <c r="G508" s="139"/>
      <c r="H508" s="139"/>
      <c r="I508" s="139"/>
      <c r="J508" s="139"/>
      <c r="N508" s="155"/>
      <c r="S508" s="155"/>
      <c r="X508" s="155"/>
    </row>
    <row r="509" spans="5:24">
      <c r="E509" s="139"/>
      <c r="F509" s="139"/>
      <c r="G509" s="139"/>
      <c r="H509" s="139"/>
      <c r="I509" s="139"/>
      <c r="J509" s="139"/>
      <c r="N509" s="155"/>
      <c r="S509" s="155"/>
      <c r="X509" s="155"/>
    </row>
    <row r="510" spans="5:24">
      <c r="E510" s="139"/>
      <c r="F510" s="139"/>
      <c r="G510" s="139"/>
      <c r="H510" s="139"/>
      <c r="I510" s="139"/>
      <c r="J510" s="139"/>
      <c r="N510" s="155"/>
      <c r="S510" s="155"/>
      <c r="X510" s="155"/>
    </row>
    <row r="511" spans="5:24">
      <c r="E511" s="139"/>
      <c r="F511" s="139"/>
      <c r="G511" s="139"/>
      <c r="H511" s="139"/>
      <c r="I511" s="139"/>
      <c r="J511" s="139"/>
      <c r="N511" s="155"/>
      <c r="S511" s="155"/>
      <c r="X511" s="155"/>
    </row>
    <row r="512" spans="5:24">
      <c r="E512" s="139"/>
      <c r="F512" s="139"/>
      <c r="G512" s="139"/>
      <c r="H512" s="139"/>
      <c r="I512" s="139"/>
      <c r="J512" s="139"/>
      <c r="N512" s="155"/>
      <c r="S512" s="155"/>
      <c r="X512" s="155"/>
    </row>
    <row r="513" spans="5:24">
      <c r="E513" s="139"/>
      <c r="F513" s="139"/>
      <c r="G513" s="139"/>
      <c r="H513" s="139"/>
      <c r="I513" s="139"/>
      <c r="J513" s="139"/>
      <c r="N513" s="155"/>
      <c r="S513" s="155"/>
      <c r="X513" s="155"/>
    </row>
    <row r="514" spans="5:24">
      <c r="E514" s="139"/>
      <c r="F514" s="139"/>
      <c r="G514" s="139"/>
      <c r="H514" s="139"/>
      <c r="I514" s="139"/>
      <c r="J514" s="139"/>
      <c r="N514" s="155"/>
      <c r="S514" s="155"/>
      <c r="X514" s="155"/>
    </row>
    <row r="515" spans="5:24">
      <c r="E515" s="139"/>
      <c r="F515" s="139"/>
      <c r="G515" s="139"/>
      <c r="H515" s="139"/>
      <c r="I515" s="139"/>
      <c r="J515" s="139"/>
      <c r="N515" s="155"/>
      <c r="S515" s="155"/>
      <c r="X515" s="155"/>
    </row>
    <row r="516" spans="5:24">
      <c r="E516" s="139"/>
      <c r="F516" s="139"/>
      <c r="G516" s="139"/>
      <c r="H516" s="139"/>
      <c r="I516" s="139"/>
      <c r="J516" s="139"/>
      <c r="N516" s="155"/>
      <c r="S516" s="155"/>
      <c r="X516" s="155"/>
    </row>
    <row r="517" spans="5:24">
      <c r="E517" s="139"/>
      <c r="F517" s="139"/>
      <c r="G517" s="139"/>
      <c r="H517" s="139"/>
      <c r="I517" s="139"/>
      <c r="J517" s="139"/>
      <c r="N517" s="155"/>
      <c r="S517" s="155"/>
      <c r="X517" s="155"/>
    </row>
    <row r="518" spans="5:24">
      <c r="E518" s="139"/>
      <c r="F518" s="139"/>
      <c r="G518" s="139"/>
      <c r="H518" s="139"/>
      <c r="I518" s="139"/>
      <c r="J518" s="139"/>
      <c r="N518" s="155"/>
      <c r="S518" s="155"/>
      <c r="X518" s="155"/>
    </row>
    <row r="519" spans="5:24">
      <c r="E519" s="139"/>
      <c r="F519" s="139"/>
      <c r="G519" s="139"/>
      <c r="H519" s="139"/>
      <c r="I519" s="139"/>
      <c r="J519" s="139"/>
      <c r="N519" s="155"/>
      <c r="S519" s="155"/>
      <c r="X519" s="155"/>
    </row>
    <row r="520" spans="5:24">
      <c r="E520" s="139"/>
      <c r="F520" s="139"/>
      <c r="G520" s="139"/>
      <c r="H520" s="139"/>
      <c r="I520" s="139"/>
      <c r="J520" s="139"/>
      <c r="N520" s="155"/>
      <c r="S520" s="155"/>
      <c r="X520" s="155"/>
    </row>
    <row r="521" spans="5:24">
      <c r="E521" s="139"/>
      <c r="F521" s="139"/>
      <c r="G521" s="139"/>
      <c r="H521" s="139"/>
      <c r="I521" s="139"/>
      <c r="J521" s="139"/>
      <c r="N521" s="155"/>
      <c r="S521" s="155"/>
      <c r="X521" s="155"/>
    </row>
    <row r="522" spans="5:24">
      <c r="E522" s="139"/>
      <c r="F522" s="139"/>
      <c r="G522" s="139"/>
      <c r="H522" s="139"/>
      <c r="I522" s="139"/>
      <c r="J522" s="139"/>
      <c r="N522" s="155"/>
      <c r="S522" s="155"/>
      <c r="X522" s="155"/>
    </row>
    <row r="523" spans="5:24">
      <c r="E523" s="139"/>
      <c r="F523" s="139"/>
      <c r="G523" s="139"/>
      <c r="H523" s="139"/>
      <c r="I523" s="139"/>
      <c r="J523" s="139"/>
      <c r="N523" s="155"/>
      <c r="S523" s="155"/>
      <c r="X523" s="155"/>
    </row>
    <row r="524" spans="5:24">
      <c r="E524" s="139"/>
      <c r="F524" s="139"/>
      <c r="G524" s="139"/>
      <c r="H524" s="139"/>
      <c r="I524" s="139"/>
      <c r="J524" s="139"/>
      <c r="N524" s="155"/>
      <c r="S524" s="155"/>
      <c r="X524" s="155"/>
    </row>
    <row r="525" spans="5:24">
      <c r="E525" s="139"/>
      <c r="F525" s="139"/>
      <c r="G525" s="139"/>
      <c r="H525" s="139"/>
      <c r="I525" s="139"/>
      <c r="J525" s="139"/>
      <c r="N525" s="155"/>
      <c r="S525" s="155"/>
      <c r="X525" s="155"/>
    </row>
    <row r="526" spans="5:24">
      <c r="E526" s="139"/>
      <c r="F526" s="139"/>
      <c r="G526" s="139"/>
      <c r="H526" s="139"/>
      <c r="I526" s="139"/>
      <c r="J526" s="139"/>
      <c r="N526" s="155"/>
      <c r="S526" s="155"/>
      <c r="X526" s="155"/>
    </row>
    <row r="527" spans="5:24">
      <c r="E527" s="139"/>
      <c r="F527" s="139"/>
      <c r="G527" s="139"/>
      <c r="H527" s="139"/>
      <c r="I527" s="139"/>
      <c r="J527" s="139"/>
      <c r="N527" s="155"/>
      <c r="S527" s="155"/>
      <c r="X527" s="155"/>
    </row>
    <row r="528" spans="5:24">
      <c r="E528" s="139"/>
      <c r="F528" s="139"/>
      <c r="G528" s="139"/>
      <c r="H528" s="139"/>
      <c r="I528" s="139"/>
      <c r="J528" s="139"/>
      <c r="N528" s="155"/>
      <c r="S528" s="155"/>
      <c r="X528" s="155"/>
    </row>
    <row r="529" spans="5:24">
      <c r="E529" s="139"/>
      <c r="F529" s="139"/>
      <c r="G529" s="139"/>
      <c r="H529" s="139"/>
      <c r="I529" s="139"/>
      <c r="J529" s="139"/>
      <c r="N529" s="155"/>
      <c r="S529" s="155"/>
      <c r="X529" s="155"/>
    </row>
    <row r="530" spans="5:24">
      <c r="E530" s="139"/>
      <c r="F530" s="139"/>
      <c r="G530" s="139"/>
      <c r="H530" s="139"/>
      <c r="I530" s="139"/>
      <c r="J530" s="139"/>
      <c r="N530" s="155"/>
      <c r="S530" s="155"/>
      <c r="X530" s="155"/>
    </row>
    <row r="531" spans="5:24">
      <c r="E531" s="139"/>
      <c r="F531" s="139"/>
      <c r="G531" s="139"/>
      <c r="H531" s="139"/>
      <c r="I531" s="139"/>
      <c r="J531" s="139"/>
      <c r="N531" s="155"/>
      <c r="S531" s="155"/>
      <c r="X531" s="155"/>
    </row>
    <row r="532" spans="5:24">
      <c r="E532" s="139"/>
      <c r="F532" s="139"/>
      <c r="G532" s="139"/>
      <c r="H532" s="139"/>
      <c r="I532" s="139"/>
      <c r="J532" s="139"/>
      <c r="N532" s="155"/>
      <c r="S532" s="155"/>
      <c r="X532" s="155"/>
    </row>
    <row r="533" spans="5:24">
      <c r="E533" s="139"/>
      <c r="F533" s="139"/>
      <c r="G533" s="139"/>
      <c r="H533" s="139"/>
      <c r="I533" s="139"/>
      <c r="J533" s="139"/>
      <c r="N533" s="155"/>
      <c r="S533" s="155"/>
      <c r="X533" s="155"/>
    </row>
    <row r="534" spans="5:24">
      <c r="E534" s="139"/>
      <c r="F534" s="139"/>
      <c r="G534" s="139"/>
      <c r="H534" s="139"/>
      <c r="I534" s="139"/>
      <c r="J534" s="139"/>
      <c r="N534" s="155"/>
      <c r="S534" s="155"/>
      <c r="X534" s="155"/>
    </row>
    <row r="535" spans="5:24">
      <c r="E535" s="139"/>
      <c r="F535" s="139"/>
      <c r="G535" s="139"/>
      <c r="H535" s="139"/>
      <c r="I535" s="139"/>
      <c r="J535" s="139"/>
      <c r="N535" s="155"/>
      <c r="S535" s="155"/>
      <c r="X535" s="155"/>
    </row>
    <row r="536" spans="5:24">
      <c r="E536" s="139"/>
      <c r="F536" s="139"/>
      <c r="G536" s="139"/>
      <c r="H536" s="139"/>
      <c r="I536" s="139"/>
      <c r="J536" s="139"/>
      <c r="N536" s="155"/>
      <c r="S536" s="155"/>
      <c r="X536" s="155"/>
    </row>
    <row r="537" spans="5:24">
      <c r="E537" s="139"/>
      <c r="F537" s="139"/>
      <c r="G537" s="139"/>
      <c r="H537" s="139"/>
      <c r="I537" s="139"/>
      <c r="J537" s="139"/>
      <c r="N537" s="155"/>
      <c r="S537" s="155"/>
      <c r="X537" s="155"/>
    </row>
    <row r="538" spans="5:24">
      <c r="E538" s="139"/>
      <c r="F538" s="139"/>
      <c r="G538" s="139"/>
      <c r="H538" s="139"/>
      <c r="I538" s="139"/>
      <c r="J538" s="139"/>
      <c r="N538" s="155"/>
      <c r="S538" s="155"/>
      <c r="X538" s="155"/>
    </row>
    <row r="539" spans="5:24">
      <c r="E539" s="139"/>
      <c r="F539" s="139"/>
      <c r="G539" s="139"/>
      <c r="H539" s="139"/>
      <c r="I539" s="139"/>
      <c r="J539" s="139"/>
      <c r="N539" s="155"/>
      <c r="S539" s="155"/>
      <c r="X539" s="155"/>
    </row>
    <row r="540" spans="5:24">
      <c r="E540" s="139"/>
      <c r="F540" s="139"/>
      <c r="G540" s="139"/>
      <c r="H540" s="139"/>
      <c r="I540" s="139"/>
      <c r="J540" s="139"/>
      <c r="N540" s="155"/>
      <c r="S540" s="155"/>
      <c r="X540" s="155"/>
    </row>
    <row r="541" spans="5:24">
      <c r="E541" s="139"/>
      <c r="F541" s="139"/>
      <c r="G541" s="139"/>
      <c r="H541" s="139"/>
      <c r="I541" s="139"/>
      <c r="J541" s="139"/>
      <c r="N541" s="155"/>
      <c r="S541" s="155"/>
      <c r="X541" s="155"/>
    </row>
    <row r="542" spans="5:24">
      <c r="E542" s="139"/>
      <c r="F542" s="139"/>
      <c r="G542" s="139"/>
      <c r="H542" s="139"/>
      <c r="I542" s="139"/>
      <c r="J542" s="139"/>
      <c r="N542" s="155"/>
      <c r="S542" s="155"/>
      <c r="X542" s="155"/>
    </row>
    <row r="543" spans="5:24">
      <c r="E543" s="139"/>
      <c r="F543" s="139"/>
      <c r="G543" s="139"/>
      <c r="H543" s="139"/>
      <c r="I543" s="139"/>
      <c r="J543" s="139"/>
      <c r="N543" s="155"/>
      <c r="S543" s="155"/>
      <c r="X543" s="155"/>
    </row>
    <row r="544" spans="5:24">
      <c r="E544" s="139"/>
      <c r="F544" s="139"/>
      <c r="G544" s="139"/>
      <c r="H544" s="139"/>
      <c r="I544" s="139"/>
      <c r="J544" s="139"/>
      <c r="N544" s="155"/>
      <c r="S544" s="155"/>
      <c r="X544" s="155"/>
    </row>
    <row r="545" spans="5:24">
      <c r="E545" s="139"/>
      <c r="F545" s="139"/>
      <c r="G545" s="139"/>
      <c r="H545" s="139"/>
      <c r="I545" s="139"/>
      <c r="J545" s="139"/>
      <c r="N545" s="155"/>
      <c r="S545" s="155"/>
      <c r="X545" s="155"/>
    </row>
    <row r="546" spans="5:24">
      <c r="E546" s="139"/>
      <c r="F546" s="139"/>
      <c r="G546" s="139"/>
      <c r="H546" s="139"/>
      <c r="I546" s="139"/>
      <c r="J546" s="139"/>
      <c r="N546" s="155"/>
      <c r="S546" s="155"/>
      <c r="X546" s="155"/>
    </row>
    <row r="547" spans="5:24">
      <c r="E547" s="139"/>
      <c r="F547" s="139"/>
      <c r="G547" s="139"/>
      <c r="H547" s="139"/>
      <c r="I547" s="139"/>
      <c r="J547" s="139"/>
      <c r="N547" s="155"/>
      <c r="S547" s="155"/>
      <c r="X547" s="155"/>
    </row>
    <row r="548" spans="5:24">
      <c r="E548" s="139"/>
      <c r="F548" s="139"/>
      <c r="G548" s="139"/>
      <c r="H548" s="139"/>
      <c r="I548" s="139"/>
      <c r="J548" s="139"/>
      <c r="N548" s="155"/>
      <c r="S548" s="155"/>
      <c r="X548" s="155"/>
    </row>
    <row r="549" spans="5:24">
      <c r="E549" s="139"/>
      <c r="F549" s="139"/>
      <c r="G549" s="139"/>
      <c r="H549" s="139"/>
      <c r="I549" s="139"/>
      <c r="J549" s="139"/>
      <c r="N549" s="155"/>
      <c r="S549" s="155"/>
      <c r="X549" s="155"/>
    </row>
    <row r="550" spans="5:24">
      <c r="E550" s="139"/>
      <c r="F550" s="139"/>
      <c r="G550" s="139"/>
      <c r="H550" s="139"/>
      <c r="I550" s="139"/>
      <c r="J550" s="139"/>
      <c r="N550" s="155"/>
      <c r="S550" s="155"/>
      <c r="X550" s="155"/>
    </row>
    <row r="551" spans="5:24">
      <c r="E551" s="139"/>
      <c r="F551" s="139"/>
      <c r="G551" s="139"/>
      <c r="H551" s="139"/>
      <c r="I551" s="139"/>
      <c r="J551" s="139"/>
      <c r="N551" s="155"/>
      <c r="S551" s="155"/>
      <c r="X551" s="155"/>
    </row>
    <row r="552" spans="5:24">
      <c r="E552" s="139"/>
      <c r="F552" s="139"/>
      <c r="G552" s="139"/>
      <c r="H552" s="139"/>
      <c r="I552" s="139"/>
      <c r="J552" s="139"/>
      <c r="N552" s="155"/>
      <c r="S552" s="155"/>
      <c r="X552" s="155"/>
    </row>
    <row r="553" spans="5:24">
      <c r="E553" s="139"/>
      <c r="F553" s="139"/>
      <c r="G553" s="139"/>
      <c r="H553" s="139"/>
      <c r="I553" s="139"/>
      <c r="J553" s="139"/>
      <c r="N553" s="155"/>
      <c r="S553" s="155"/>
      <c r="X553" s="155"/>
    </row>
    <row r="554" spans="5:24">
      <c r="E554" s="139"/>
      <c r="F554" s="139"/>
      <c r="G554" s="139"/>
      <c r="H554" s="139"/>
      <c r="I554" s="139"/>
      <c r="J554" s="139"/>
      <c r="N554" s="155"/>
      <c r="S554" s="155"/>
      <c r="X554" s="155"/>
    </row>
    <row r="555" spans="5:24">
      <c r="E555" s="139"/>
      <c r="F555" s="139"/>
      <c r="G555" s="139"/>
      <c r="H555" s="139"/>
      <c r="I555" s="139"/>
      <c r="J555" s="139"/>
      <c r="N555" s="155"/>
      <c r="S555" s="155"/>
      <c r="X555" s="155"/>
    </row>
    <row r="556" spans="5:24">
      <c r="E556" s="139"/>
      <c r="F556" s="139"/>
      <c r="G556" s="139"/>
      <c r="H556" s="139"/>
      <c r="I556" s="139"/>
      <c r="J556" s="139"/>
      <c r="N556" s="155"/>
      <c r="S556" s="155"/>
      <c r="X556" s="155"/>
    </row>
    <row r="557" spans="5:24">
      <c r="E557" s="139"/>
      <c r="F557" s="139"/>
      <c r="G557" s="139"/>
      <c r="H557" s="139"/>
      <c r="I557" s="139"/>
      <c r="J557" s="139"/>
      <c r="N557" s="155"/>
      <c r="S557" s="155"/>
      <c r="X557" s="155"/>
    </row>
    <row r="558" spans="5:24">
      <c r="E558" s="139"/>
      <c r="F558" s="139"/>
      <c r="G558" s="139"/>
      <c r="H558" s="139"/>
      <c r="I558" s="139"/>
      <c r="J558" s="139"/>
      <c r="N558" s="155"/>
      <c r="S558" s="155"/>
      <c r="X558" s="155"/>
    </row>
    <row r="559" spans="5:24">
      <c r="E559" s="139"/>
      <c r="F559" s="139"/>
      <c r="G559" s="139"/>
      <c r="H559" s="139"/>
      <c r="I559" s="139"/>
      <c r="J559" s="139"/>
      <c r="N559" s="155"/>
      <c r="S559" s="155"/>
      <c r="X559" s="155"/>
    </row>
    <row r="560" spans="5:24">
      <c r="E560" s="139"/>
      <c r="F560" s="139"/>
      <c r="G560" s="139"/>
      <c r="H560" s="139"/>
      <c r="I560" s="139"/>
      <c r="J560" s="139"/>
      <c r="N560" s="155"/>
      <c r="S560" s="155"/>
      <c r="X560" s="155"/>
    </row>
    <row r="561" spans="5:24">
      <c r="E561" s="139"/>
      <c r="F561" s="139"/>
      <c r="G561" s="139"/>
      <c r="H561" s="139"/>
      <c r="I561" s="139"/>
      <c r="J561" s="139"/>
      <c r="N561" s="155"/>
      <c r="S561" s="155"/>
      <c r="X561" s="155"/>
    </row>
    <row r="562" spans="5:24">
      <c r="E562" s="139"/>
      <c r="F562" s="139"/>
      <c r="G562" s="139"/>
      <c r="H562" s="139"/>
      <c r="I562" s="139"/>
      <c r="J562" s="139"/>
      <c r="N562" s="155"/>
      <c r="S562" s="155"/>
      <c r="X562" s="155"/>
    </row>
    <row r="563" spans="5:24">
      <c r="E563" s="139"/>
      <c r="F563" s="139"/>
      <c r="G563" s="139"/>
      <c r="H563" s="139"/>
      <c r="I563" s="139"/>
      <c r="J563" s="139"/>
      <c r="N563" s="155"/>
      <c r="S563" s="155"/>
      <c r="X563" s="155"/>
    </row>
    <row r="564" spans="5:24">
      <c r="E564" s="139"/>
      <c r="F564" s="139"/>
      <c r="G564" s="139"/>
      <c r="H564" s="139"/>
      <c r="I564" s="139"/>
      <c r="J564" s="139"/>
      <c r="N564" s="155"/>
      <c r="S564" s="155"/>
      <c r="X564" s="155"/>
    </row>
    <row r="565" spans="5:24">
      <c r="E565" s="139"/>
      <c r="F565" s="139"/>
      <c r="G565" s="139"/>
      <c r="H565" s="139"/>
      <c r="I565" s="139"/>
      <c r="J565" s="139"/>
      <c r="N565" s="155"/>
      <c r="S565" s="155"/>
      <c r="X565" s="155"/>
    </row>
    <row r="566" spans="5:24">
      <c r="E566" s="139"/>
      <c r="F566" s="139"/>
      <c r="G566" s="139"/>
      <c r="H566" s="139"/>
      <c r="I566" s="139"/>
      <c r="J566" s="139"/>
      <c r="N566" s="155"/>
      <c r="S566" s="155"/>
      <c r="X566" s="155"/>
    </row>
    <row r="567" spans="5:24">
      <c r="E567" s="139"/>
      <c r="F567" s="139"/>
      <c r="G567" s="139"/>
      <c r="H567" s="139"/>
      <c r="I567" s="139"/>
      <c r="J567" s="139"/>
      <c r="N567" s="155"/>
      <c r="S567" s="155"/>
      <c r="X567" s="155"/>
    </row>
    <row r="568" spans="5:24">
      <c r="E568" s="139"/>
      <c r="F568" s="139"/>
      <c r="G568" s="139"/>
      <c r="H568" s="139"/>
      <c r="I568" s="139"/>
      <c r="J568" s="139"/>
      <c r="N568" s="155"/>
      <c r="S568" s="155"/>
      <c r="X568" s="155"/>
    </row>
    <row r="569" spans="5:24">
      <c r="E569" s="139"/>
      <c r="F569" s="139"/>
      <c r="G569" s="139"/>
      <c r="H569" s="139"/>
      <c r="I569" s="139"/>
      <c r="J569" s="139"/>
      <c r="N569" s="155"/>
      <c r="S569" s="155"/>
      <c r="X569" s="155"/>
    </row>
    <row r="570" spans="5:24">
      <c r="E570" s="139"/>
      <c r="F570" s="139"/>
      <c r="G570" s="139"/>
      <c r="H570" s="139"/>
      <c r="I570" s="139"/>
      <c r="J570" s="139"/>
      <c r="N570" s="155"/>
      <c r="S570" s="155"/>
      <c r="X570" s="155"/>
    </row>
    <row r="571" spans="5:24">
      <c r="E571" s="139"/>
      <c r="F571" s="139"/>
      <c r="G571" s="139"/>
      <c r="H571" s="139"/>
      <c r="I571" s="139"/>
      <c r="J571" s="139"/>
      <c r="N571" s="155"/>
      <c r="S571" s="155"/>
      <c r="X571" s="155"/>
    </row>
    <row r="572" spans="5:24">
      <c r="E572" s="139"/>
      <c r="F572" s="139"/>
      <c r="G572" s="139"/>
      <c r="H572" s="139"/>
      <c r="I572" s="139"/>
      <c r="J572" s="139"/>
      <c r="N572" s="155"/>
      <c r="S572" s="155"/>
      <c r="X572" s="155"/>
    </row>
    <row r="573" spans="5:24">
      <c r="E573" s="139"/>
      <c r="F573" s="139"/>
      <c r="G573" s="139"/>
      <c r="H573" s="139"/>
      <c r="I573" s="139"/>
      <c r="J573" s="139"/>
      <c r="N573" s="155"/>
      <c r="S573" s="155"/>
      <c r="X573" s="155"/>
    </row>
    <row r="574" spans="5:24">
      <c r="E574" s="139"/>
      <c r="F574" s="139"/>
      <c r="G574" s="139"/>
      <c r="H574" s="139"/>
      <c r="I574" s="139"/>
      <c r="J574" s="139"/>
      <c r="N574" s="155"/>
      <c r="S574" s="155"/>
      <c r="X574" s="155"/>
    </row>
    <row r="575" spans="5:24">
      <c r="E575" s="139"/>
      <c r="F575" s="139"/>
      <c r="G575" s="139"/>
      <c r="H575" s="139"/>
      <c r="I575" s="139"/>
      <c r="J575" s="139"/>
      <c r="N575" s="155"/>
      <c r="S575" s="155"/>
      <c r="X575" s="155"/>
    </row>
    <row r="576" spans="5:24">
      <c r="E576" s="139"/>
      <c r="F576" s="139"/>
      <c r="G576" s="139"/>
      <c r="H576" s="139"/>
      <c r="I576" s="139"/>
      <c r="J576" s="139"/>
      <c r="N576" s="155"/>
      <c r="S576" s="155"/>
      <c r="X576" s="155"/>
    </row>
    <row r="577" spans="5:24">
      <c r="E577" s="139"/>
      <c r="F577" s="139"/>
      <c r="G577" s="139"/>
      <c r="H577" s="139"/>
      <c r="I577" s="139"/>
      <c r="J577" s="139"/>
      <c r="N577" s="155"/>
      <c r="S577" s="155"/>
      <c r="X577" s="155"/>
    </row>
    <row r="578" spans="5:24">
      <c r="E578" s="139"/>
      <c r="F578" s="139"/>
      <c r="G578" s="139"/>
      <c r="H578" s="139"/>
      <c r="I578" s="139"/>
      <c r="J578" s="139"/>
      <c r="N578" s="155"/>
      <c r="S578" s="155"/>
      <c r="X578" s="155"/>
    </row>
    <row r="579" spans="5:24">
      <c r="E579" s="139"/>
      <c r="F579" s="139"/>
      <c r="G579" s="139"/>
      <c r="H579" s="139"/>
      <c r="I579" s="139"/>
      <c r="J579" s="139"/>
      <c r="N579" s="155"/>
      <c r="S579" s="155"/>
      <c r="X579" s="155"/>
    </row>
    <row r="580" spans="5:24">
      <c r="E580" s="139"/>
      <c r="F580" s="139"/>
      <c r="G580" s="139"/>
      <c r="H580" s="139"/>
      <c r="I580" s="139"/>
      <c r="J580" s="139"/>
      <c r="N580" s="155"/>
      <c r="S580" s="155"/>
      <c r="X580" s="155"/>
    </row>
    <row r="581" spans="5:24">
      <c r="E581" s="139"/>
      <c r="F581" s="139"/>
      <c r="G581" s="139"/>
      <c r="H581" s="139"/>
      <c r="I581" s="139"/>
      <c r="J581" s="139"/>
      <c r="N581" s="155"/>
      <c r="S581" s="155"/>
      <c r="X581" s="155"/>
    </row>
    <row r="582" spans="5:24">
      <c r="E582" s="139"/>
      <c r="F582" s="139"/>
      <c r="G582" s="139"/>
      <c r="H582" s="139"/>
      <c r="I582" s="139"/>
      <c r="J582" s="139"/>
      <c r="N582" s="155"/>
      <c r="S582" s="155"/>
      <c r="X582" s="155"/>
    </row>
    <row r="583" spans="5:24">
      <c r="E583" s="139"/>
      <c r="F583" s="139"/>
      <c r="G583" s="139"/>
      <c r="H583" s="139"/>
      <c r="I583" s="139"/>
      <c r="J583" s="139"/>
      <c r="N583" s="155"/>
      <c r="S583" s="155"/>
      <c r="X583" s="155"/>
    </row>
    <row r="584" spans="5:24">
      <c r="E584" s="139"/>
      <c r="F584" s="139"/>
      <c r="G584" s="139"/>
      <c r="H584" s="139"/>
      <c r="I584" s="139"/>
      <c r="J584" s="139"/>
      <c r="N584" s="155"/>
      <c r="S584" s="155"/>
      <c r="X584" s="155"/>
    </row>
    <row r="585" spans="5:24">
      <c r="E585" s="139"/>
      <c r="F585" s="139"/>
      <c r="G585" s="139"/>
      <c r="H585" s="139"/>
      <c r="I585" s="139"/>
      <c r="J585" s="139"/>
      <c r="N585" s="155"/>
      <c r="S585" s="155"/>
      <c r="X585" s="155"/>
    </row>
    <row r="586" spans="5:24">
      <c r="E586" s="139"/>
      <c r="F586" s="139"/>
      <c r="G586" s="139"/>
      <c r="H586" s="139"/>
      <c r="I586" s="139"/>
      <c r="J586" s="139"/>
      <c r="N586" s="155"/>
      <c r="S586" s="155"/>
      <c r="X586" s="155"/>
    </row>
    <row r="587" spans="5:24">
      <c r="E587" s="139"/>
      <c r="F587" s="139"/>
      <c r="G587" s="139"/>
      <c r="H587" s="139"/>
      <c r="I587" s="139"/>
      <c r="J587" s="139"/>
      <c r="N587" s="155"/>
      <c r="S587" s="155"/>
      <c r="X587" s="155"/>
    </row>
    <row r="588" spans="5:24">
      <c r="E588" s="139"/>
      <c r="F588" s="139"/>
      <c r="G588" s="139"/>
      <c r="H588" s="139"/>
      <c r="I588" s="139"/>
      <c r="J588" s="139"/>
      <c r="N588" s="155"/>
      <c r="S588" s="155"/>
      <c r="X588" s="155"/>
    </row>
    <row r="589" spans="5:24">
      <c r="E589" s="139"/>
      <c r="F589" s="139"/>
      <c r="G589" s="139"/>
      <c r="H589" s="139"/>
      <c r="I589" s="139"/>
      <c r="J589" s="139"/>
      <c r="N589" s="155"/>
      <c r="S589" s="155"/>
      <c r="X589" s="155"/>
    </row>
    <row r="590" spans="5:24">
      <c r="E590" s="139"/>
      <c r="F590" s="139"/>
      <c r="G590" s="139"/>
      <c r="H590" s="139"/>
      <c r="I590" s="139"/>
      <c r="J590" s="139"/>
      <c r="N590" s="155"/>
      <c r="S590" s="155"/>
      <c r="X590" s="155"/>
    </row>
    <row r="591" spans="5:24">
      <c r="E591" s="139"/>
      <c r="F591" s="139"/>
      <c r="G591" s="139"/>
      <c r="H591" s="139"/>
      <c r="I591" s="139"/>
      <c r="J591" s="139"/>
      <c r="N591" s="155"/>
      <c r="S591" s="155"/>
      <c r="X591" s="155"/>
    </row>
    <row r="592" spans="5:24">
      <c r="E592" s="139"/>
      <c r="F592" s="139"/>
      <c r="G592" s="139"/>
      <c r="H592" s="139"/>
      <c r="I592" s="139"/>
      <c r="J592" s="139"/>
      <c r="N592" s="155"/>
      <c r="S592" s="155"/>
      <c r="X592" s="155"/>
    </row>
    <row r="593" spans="5:24">
      <c r="E593" s="139"/>
      <c r="F593" s="139"/>
      <c r="G593" s="139"/>
      <c r="H593" s="139"/>
      <c r="I593" s="139"/>
      <c r="J593" s="139"/>
      <c r="N593" s="155"/>
      <c r="S593" s="155"/>
      <c r="X593" s="155"/>
    </row>
    <row r="594" spans="5:24">
      <c r="E594" s="139"/>
      <c r="F594" s="139"/>
      <c r="G594" s="139"/>
      <c r="H594" s="139"/>
      <c r="I594" s="139"/>
      <c r="J594" s="139"/>
      <c r="N594" s="155"/>
      <c r="S594" s="155"/>
      <c r="X594" s="155"/>
    </row>
    <row r="595" spans="5:24">
      <c r="E595" s="139"/>
      <c r="F595" s="139"/>
      <c r="G595" s="139"/>
      <c r="H595" s="139"/>
      <c r="I595" s="139"/>
      <c r="J595" s="139"/>
      <c r="N595" s="155"/>
      <c r="S595" s="155"/>
      <c r="X595" s="155"/>
    </row>
    <row r="596" spans="5:24">
      <c r="E596" s="139"/>
      <c r="F596" s="139"/>
      <c r="G596" s="139"/>
      <c r="H596" s="139"/>
      <c r="I596" s="139"/>
      <c r="J596" s="139"/>
      <c r="N596" s="155"/>
      <c r="S596" s="155"/>
      <c r="X596" s="155"/>
    </row>
    <row r="597" spans="5:24">
      <c r="E597" s="139"/>
      <c r="F597" s="139"/>
      <c r="G597" s="139"/>
      <c r="H597" s="139"/>
      <c r="I597" s="139"/>
      <c r="J597" s="139"/>
      <c r="N597" s="155"/>
      <c r="S597" s="155"/>
      <c r="X597" s="155"/>
    </row>
    <row r="598" spans="5:24">
      <c r="E598" s="139"/>
      <c r="F598" s="139"/>
      <c r="G598" s="139"/>
      <c r="H598" s="139"/>
      <c r="I598" s="139"/>
      <c r="J598" s="139"/>
      <c r="N598" s="155"/>
      <c r="S598" s="155"/>
      <c r="X598" s="155"/>
    </row>
    <row r="599" spans="5:24">
      <c r="E599" s="139"/>
      <c r="F599" s="139"/>
      <c r="G599" s="139"/>
      <c r="H599" s="139"/>
      <c r="I599" s="139"/>
      <c r="J599" s="139"/>
      <c r="N599" s="155"/>
      <c r="S599" s="155"/>
      <c r="X599" s="155"/>
    </row>
    <row r="600" spans="5:24">
      <c r="E600" s="139"/>
      <c r="F600" s="139"/>
      <c r="G600" s="139"/>
      <c r="H600" s="139"/>
      <c r="I600" s="139"/>
      <c r="J600" s="139"/>
      <c r="N600" s="155"/>
      <c r="S600" s="155"/>
      <c r="X600" s="155"/>
    </row>
    <row r="601" spans="5:24">
      <c r="E601" s="139"/>
      <c r="F601" s="139"/>
      <c r="G601" s="139"/>
      <c r="H601" s="139"/>
      <c r="I601" s="139"/>
      <c r="J601" s="139"/>
      <c r="N601" s="155"/>
      <c r="S601" s="155"/>
      <c r="X601" s="155"/>
    </row>
    <row r="602" spans="5:24">
      <c r="E602" s="139"/>
      <c r="F602" s="139"/>
      <c r="G602" s="139"/>
      <c r="H602" s="139"/>
      <c r="I602" s="139"/>
      <c r="J602" s="139"/>
      <c r="N602" s="155"/>
      <c r="S602" s="155"/>
      <c r="X602" s="155"/>
    </row>
    <row r="603" spans="5:24">
      <c r="E603" s="139"/>
      <c r="F603" s="139"/>
      <c r="G603" s="139"/>
      <c r="H603" s="139"/>
      <c r="I603" s="139"/>
      <c r="J603" s="139"/>
      <c r="N603" s="155"/>
      <c r="S603" s="155"/>
      <c r="X603" s="155"/>
    </row>
    <row r="604" spans="5:24">
      <c r="E604" s="139"/>
      <c r="F604" s="139"/>
      <c r="G604" s="139"/>
      <c r="H604" s="139"/>
      <c r="I604" s="139"/>
      <c r="J604" s="139"/>
      <c r="N604" s="155"/>
      <c r="S604" s="155"/>
      <c r="X604" s="155"/>
    </row>
    <row r="605" spans="5:24">
      <c r="E605" s="139"/>
      <c r="F605" s="139"/>
      <c r="G605" s="139"/>
      <c r="H605" s="139"/>
      <c r="I605" s="139"/>
      <c r="J605" s="139"/>
      <c r="N605" s="155"/>
      <c r="S605" s="155"/>
      <c r="X605" s="155"/>
    </row>
    <row r="606" spans="5:24">
      <c r="E606" s="139"/>
      <c r="F606" s="139"/>
      <c r="G606" s="139"/>
      <c r="H606" s="139"/>
      <c r="I606" s="139"/>
      <c r="J606" s="139"/>
      <c r="N606" s="155"/>
      <c r="S606" s="155"/>
      <c r="X606" s="155"/>
    </row>
    <row r="607" spans="5:24">
      <c r="E607" s="139"/>
      <c r="F607" s="139"/>
      <c r="G607" s="139"/>
      <c r="H607" s="139"/>
      <c r="I607" s="139"/>
      <c r="J607" s="139"/>
      <c r="N607" s="155"/>
      <c r="S607" s="155"/>
      <c r="X607" s="155"/>
    </row>
    <row r="608" spans="5:24">
      <c r="E608" s="139"/>
      <c r="F608" s="139"/>
      <c r="G608" s="139"/>
      <c r="H608" s="139"/>
      <c r="I608" s="139"/>
      <c r="J608" s="139"/>
      <c r="N608" s="155"/>
      <c r="S608" s="155"/>
      <c r="X608" s="155"/>
    </row>
    <row r="609" spans="5:24">
      <c r="E609" s="139"/>
      <c r="F609" s="139"/>
      <c r="G609" s="139"/>
      <c r="H609" s="139"/>
      <c r="I609" s="139"/>
      <c r="J609" s="139"/>
      <c r="N609" s="155"/>
      <c r="S609" s="155"/>
      <c r="X609" s="155"/>
    </row>
    <row r="610" spans="5:24">
      <c r="E610" s="139"/>
      <c r="F610" s="139"/>
      <c r="G610" s="139"/>
      <c r="H610" s="139"/>
      <c r="I610" s="139"/>
      <c r="J610" s="139"/>
      <c r="N610" s="155"/>
      <c r="S610" s="155"/>
      <c r="X610" s="155"/>
    </row>
    <row r="611" spans="5:24">
      <c r="E611" s="139"/>
      <c r="F611" s="139"/>
      <c r="G611" s="139"/>
      <c r="H611" s="139"/>
      <c r="I611" s="139"/>
      <c r="J611" s="139"/>
      <c r="N611" s="155"/>
      <c r="S611" s="155"/>
      <c r="X611" s="155"/>
    </row>
    <row r="612" spans="5:24">
      <c r="E612" s="139"/>
      <c r="F612" s="139"/>
      <c r="G612" s="139"/>
      <c r="H612" s="139"/>
      <c r="I612" s="139"/>
      <c r="J612" s="139"/>
      <c r="N612" s="155"/>
      <c r="S612" s="155"/>
      <c r="X612" s="155"/>
    </row>
    <row r="613" spans="5:24">
      <c r="E613" s="139"/>
      <c r="F613" s="139"/>
      <c r="G613" s="139"/>
      <c r="H613" s="139"/>
      <c r="I613" s="139"/>
      <c r="J613" s="139"/>
      <c r="N613" s="155"/>
      <c r="S613" s="155"/>
      <c r="X613" s="155"/>
    </row>
    <row r="614" spans="5:24">
      <c r="E614" s="139"/>
      <c r="F614" s="139"/>
      <c r="G614" s="139"/>
      <c r="H614" s="139"/>
      <c r="I614" s="139"/>
      <c r="J614" s="139"/>
      <c r="N614" s="155"/>
      <c r="S614" s="155"/>
      <c r="X614" s="155"/>
    </row>
    <row r="615" spans="5:24">
      <c r="E615" s="139"/>
      <c r="F615" s="139"/>
      <c r="G615" s="139"/>
      <c r="H615" s="139"/>
      <c r="I615" s="139"/>
      <c r="J615" s="139"/>
      <c r="N615" s="155"/>
      <c r="S615" s="155"/>
      <c r="X615" s="155"/>
    </row>
    <row r="616" spans="5:24">
      <c r="E616" s="139"/>
      <c r="F616" s="139"/>
      <c r="G616" s="139"/>
      <c r="H616" s="139"/>
      <c r="I616" s="139"/>
      <c r="J616" s="139"/>
      <c r="N616" s="155"/>
      <c r="S616" s="155"/>
      <c r="X616" s="155"/>
    </row>
    <row r="617" spans="5:24">
      <c r="E617" s="139"/>
      <c r="F617" s="139"/>
      <c r="G617" s="139"/>
      <c r="H617" s="139"/>
      <c r="I617" s="139"/>
      <c r="J617" s="139"/>
      <c r="N617" s="155"/>
      <c r="S617" s="155"/>
      <c r="X617" s="155"/>
    </row>
    <row r="618" spans="5:24">
      <c r="E618" s="139"/>
      <c r="F618" s="139"/>
      <c r="G618" s="139"/>
      <c r="H618" s="139"/>
      <c r="I618" s="139"/>
      <c r="J618" s="139"/>
      <c r="N618" s="155"/>
      <c r="S618" s="155"/>
      <c r="X618" s="155"/>
    </row>
    <row r="619" spans="5:24">
      <c r="E619" s="139"/>
      <c r="F619" s="139"/>
      <c r="G619" s="139"/>
      <c r="H619" s="139"/>
      <c r="I619" s="139"/>
      <c r="J619" s="139"/>
      <c r="N619" s="155"/>
      <c r="S619" s="155"/>
      <c r="X619" s="155"/>
    </row>
    <row r="620" spans="5:24">
      <c r="E620" s="139"/>
      <c r="F620" s="139"/>
      <c r="G620" s="139"/>
      <c r="H620" s="139"/>
      <c r="I620" s="139"/>
      <c r="J620" s="139"/>
      <c r="N620" s="155"/>
      <c r="S620" s="155"/>
      <c r="X620" s="155"/>
    </row>
    <row r="621" spans="5:24">
      <c r="E621" s="139"/>
      <c r="F621" s="139"/>
      <c r="G621" s="139"/>
      <c r="H621" s="139"/>
      <c r="I621" s="139"/>
      <c r="J621" s="139"/>
      <c r="N621" s="155"/>
      <c r="S621" s="155"/>
      <c r="X621" s="155"/>
    </row>
    <row r="622" spans="5:24">
      <c r="E622" s="139"/>
      <c r="F622" s="139"/>
      <c r="G622" s="139"/>
      <c r="H622" s="139"/>
      <c r="I622" s="139"/>
      <c r="J622" s="139"/>
      <c r="N622" s="155"/>
      <c r="S622" s="155"/>
      <c r="X622" s="155"/>
    </row>
    <row r="623" spans="5:24">
      <c r="E623" s="139"/>
      <c r="F623" s="139"/>
      <c r="G623" s="139"/>
      <c r="H623" s="139"/>
      <c r="I623" s="139"/>
      <c r="J623" s="139"/>
      <c r="N623" s="155"/>
      <c r="S623" s="155"/>
      <c r="X623" s="155"/>
    </row>
    <row r="624" spans="5:24">
      <c r="E624" s="139"/>
      <c r="F624" s="139"/>
      <c r="G624" s="139"/>
      <c r="H624" s="139"/>
      <c r="I624" s="139"/>
      <c r="J624" s="139"/>
      <c r="N624" s="155"/>
      <c r="S624" s="155"/>
      <c r="X624" s="155"/>
    </row>
    <row r="625" spans="5:24">
      <c r="E625" s="139"/>
      <c r="F625" s="139"/>
      <c r="G625" s="139"/>
      <c r="H625" s="139"/>
      <c r="I625" s="139"/>
      <c r="J625" s="139"/>
      <c r="N625" s="155"/>
      <c r="S625" s="155"/>
      <c r="X625" s="155"/>
    </row>
    <row r="626" spans="5:24">
      <c r="E626" s="139"/>
      <c r="F626" s="139"/>
      <c r="G626" s="139"/>
      <c r="H626" s="139"/>
      <c r="I626" s="139"/>
      <c r="J626" s="139"/>
      <c r="N626" s="155"/>
      <c r="S626" s="155"/>
      <c r="X626" s="155"/>
    </row>
    <row r="627" spans="5:24">
      <c r="E627" s="139"/>
      <c r="F627" s="139"/>
      <c r="G627" s="139"/>
      <c r="H627" s="139"/>
      <c r="I627" s="139"/>
      <c r="J627" s="139"/>
      <c r="N627" s="155"/>
      <c r="S627" s="155"/>
      <c r="X627" s="155"/>
    </row>
    <row r="628" spans="5:24">
      <c r="E628" s="139"/>
      <c r="F628" s="139"/>
      <c r="G628" s="139"/>
      <c r="H628" s="139"/>
      <c r="I628" s="139"/>
      <c r="J628" s="139"/>
      <c r="N628" s="155"/>
      <c r="S628" s="155"/>
      <c r="X628" s="155"/>
    </row>
    <row r="629" spans="5:24">
      <c r="E629" s="139"/>
      <c r="F629" s="139"/>
      <c r="G629" s="139"/>
      <c r="H629" s="139"/>
      <c r="I629" s="139"/>
      <c r="J629" s="139"/>
      <c r="N629" s="155"/>
      <c r="S629" s="155"/>
      <c r="X629" s="155"/>
    </row>
    <row r="630" spans="5:24">
      <c r="E630" s="139"/>
      <c r="F630" s="139"/>
      <c r="G630" s="139"/>
      <c r="H630" s="139"/>
      <c r="I630" s="139"/>
      <c r="J630" s="139"/>
      <c r="N630" s="155"/>
      <c r="S630" s="155"/>
      <c r="X630" s="155"/>
    </row>
    <row r="631" spans="5:24">
      <c r="E631" s="139"/>
      <c r="F631" s="139"/>
      <c r="G631" s="139"/>
      <c r="H631" s="139"/>
      <c r="I631" s="139"/>
      <c r="J631" s="139"/>
      <c r="N631" s="155"/>
      <c r="S631" s="155"/>
      <c r="X631" s="155"/>
    </row>
    <row r="632" spans="5:24">
      <c r="E632" s="139"/>
      <c r="F632" s="139"/>
      <c r="G632" s="139"/>
      <c r="H632" s="139"/>
      <c r="I632" s="139"/>
      <c r="J632" s="139"/>
      <c r="N632" s="155"/>
      <c r="S632" s="155"/>
      <c r="X632" s="155"/>
    </row>
    <row r="633" spans="5:24">
      <c r="E633" s="139"/>
      <c r="F633" s="139"/>
      <c r="G633" s="139"/>
      <c r="H633" s="139"/>
      <c r="I633" s="139"/>
      <c r="J633" s="139"/>
      <c r="N633" s="155"/>
      <c r="S633" s="155"/>
      <c r="X633" s="155"/>
    </row>
    <row r="634" spans="5:24">
      <c r="E634" s="139"/>
      <c r="F634" s="139"/>
      <c r="G634" s="139"/>
      <c r="H634" s="139"/>
      <c r="I634" s="139"/>
      <c r="J634" s="139"/>
      <c r="N634" s="155"/>
      <c r="S634" s="155"/>
      <c r="X634" s="155"/>
    </row>
    <row r="635" spans="5:24">
      <c r="E635" s="139"/>
      <c r="F635" s="139"/>
      <c r="G635" s="139"/>
      <c r="H635" s="139"/>
      <c r="I635" s="139"/>
      <c r="J635" s="139"/>
      <c r="N635" s="155"/>
      <c r="S635" s="155"/>
      <c r="X635" s="155"/>
    </row>
    <row r="636" spans="5:24">
      <c r="E636" s="139"/>
      <c r="F636" s="139"/>
      <c r="G636" s="139"/>
      <c r="H636" s="139"/>
      <c r="I636" s="139"/>
      <c r="J636" s="139"/>
      <c r="N636" s="155"/>
      <c r="S636" s="155"/>
      <c r="X636" s="155"/>
    </row>
    <row r="637" spans="5:24">
      <c r="E637" s="139"/>
      <c r="F637" s="139"/>
      <c r="G637" s="139"/>
      <c r="H637" s="139"/>
      <c r="I637" s="139"/>
      <c r="J637" s="139"/>
      <c r="N637" s="155"/>
      <c r="S637" s="155"/>
      <c r="X637" s="155"/>
    </row>
    <row r="638" spans="5:24">
      <c r="E638" s="139"/>
      <c r="F638" s="139"/>
      <c r="G638" s="139"/>
      <c r="H638" s="139"/>
      <c r="I638" s="139"/>
      <c r="J638" s="139"/>
      <c r="N638" s="155"/>
      <c r="S638" s="155"/>
      <c r="X638" s="155"/>
    </row>
    <row r="639" spans="5:24">
      <c r="E639" s="139"/>
      <c r="F639" s="139"/>
      <c r="G639" s="139"/>
      <c r="H639" s="139"/>
      <c r="I639" s="139"/>
      <c r="J639" s="139"/>
      <c r="N639" s="155"/>
      <c r="S639" s="155"/>
      <c r="X639" s="155"/>
    </row>
    <row r="640" spans="5:24">
      <c r="E640" s="139"/>
      <c r="N640" s="155"/>
      <c r="S640" s="155"/>
      <c r="X640" s="155"/>
    </row>
    <row r="641" spans="5:24">
      <c r="E641" s="139"/>
      <c r="N641" s="155"/>
      <c r="S641" s="155"/>
      <c r="X641" s="155"/>
    </row>
    <row r="642" spans="5:24">
      <c r="E642" s="139"/>
      <c r="N642" s="155"/>
      <c r="S642" s="155"/>
      <c r="X642" s="155"/>
    </row>
    <row r="643" spans="5:24">
      <c r="E643" s="139"/>
      <c r="N643" s="155"/>
      <c r="S643" s="155"/>
      <c r="X643" s="155"/>
    </row>
    <row r="644" spans="5:24">
      <c r="E644" s="139"/>
      <c r="N644" s="155"/>
      <c r="S644" s="155"/>
      <c r="X644" s="155"/>
    </row>
    <row r="645" spans="5:24">
      <c r="E645" s="139"/>
      <c r="N645" s="155"/>
      <c r="S645" s="155"/>
      <c r="X645" s="155"/>
    </row>
    <row r="646" spans="5:24">
      <c r="E646" s="139"/>
      <c r="N646" s="155"/>
      <c r="S646" s="155"/>
      <c r="X646" s="155"/>
    </row>
    <row r="647" spans="5:24">
      <c r="E647" s="139"/>
      <c r="N647" s="155"/>
      <c r="S647" s="155"/>
      <c r="X647" s="155"/>
    </row>
    <row r="648" spans="5:24">
      <c r="E648" s="139"/>
      <c r="N648" s="155"/>
      <c r="S648" s="155"/>
      <c r="X648" s="155"/>
    </row>
    <row r="649" spans="5:24">
      <c r="E649" s="139"/>
      <c r="N649" s="155"/>
      <c r="S649" s="155"/>
      <c r="X649" s="155"/>
    </row>
    <row r="650" spans="5:24">
      <c r="E650" s="139"/>
      <c r="N650" s="155"/>
      <c r="S650" s="155"/>
      <c r="X650" s="155"/>
    </row>
    <row r="651" spans="5:24">
      <c r="E651" s="139"/>
      <c r="F651" s="139"/>
      <c r="G651" s="140"/>
      <c r="H651" s="139"/>
      <c r="I651" s="140"/>
      <c r="J651" s="139"/>
      <c r="K651" s="140"/>
      <c r="M651" s="140"/>
      <c r="O651" s="140"/>
      <c r="Q651" s="140"/>
      <c r="S651" s="140"/>
      <c r="U651" s="140"/>
      <c r="W651" s="140"/>
    </row>
    <row r="652" spans="5:24">
      <c r="E652" s="139"/>
      <c r="N652" s="155"/>
      <c r="S652" s="155"/>
      <c r="X652" s="155"/>
    </row>
    <row r="653" spans="5:24">
      <c r="E653" s="139"/>
      <c r="N653" s="155"/>
      <c r="S653" s="155"/>
      <c r="X653" s="155"/>
    </row>
    <row r="654" spans="5:24">
      <c r="E654" s="139"/>
      <c r="N654" s="155"/>
      <c r="S654" s="155"/>
      <c r="X654" s="155"/>
    </row>
    <row r="655" spans="5:24">
      <c r="E655" s="139"/>
      <c r="N655" s="155"/>
      <c r="S655" s="155"/>
      <c r="X655" s="155"/>
    </row>
    <row r="656" spans="5:24">
      <c r="E656" s="139"/>
      <c r="F656" s="139"/>
      <c r="G656" s="139"/>
      <c r="H656" s="139"/>
      <c r="I656" s="139"/>
      <c r="J656" s="139"/>
      <c r="N656" s="155"/>
      <c r="S656" s="155"/>
      <c r="X656" s="155"/>
    </row>
    <row r="657" spans="5:24">
      <c r="E657" s="139"/>
      <c r="F657" s="139"/>
      <c r="G657" s="139"/>
      <c r="H657" s="139"/>
      <c r="I657" s="139"/>
      <c r="J657" s="139"/>
      <c r="N657" s="155"/>
      <c r="S657" s="155"/>
      <c r="X657" s="155"/>
    </row>
    <row r="658" spans="5:24">
      <c r="E658" s="139"/>
      <c r="F658" s="139"/>
      <c r="G658" s="139"/>
      <c r="H658" s="139"/>
      <c r="I658" s="139"/>
      <c r="J658" s="139"/>
      <c r="N658" s="155"/>
      <c r="S658" s="155"/>
      <c r="X658" s="155"/>
    </row>
    <row r="659" spans="5:24">
      <c r="E659" s="139"/>
      <c r="F659" s="139"/>
      <c r="G659" s="139"/>
      <c r="H659" s="139"/>
      <c r="I659" s="139"/>
      <c r="J659" s="139"/>
      <c r="N659" s="155"/>
      <c r="S659" s="155"/>
      <c r="X659" s="155"/>
    </row>
    <row r="660" spans="5:24">
      <c r="E660" s="139"/>
      <c r="F660" s="139"/>
      <c r="G660" s="139"/>
      <c r="H660" s="139"/>
      <c r="I660" s="139"/>
      <c r="J660" s="139"/>
      <c r="N660" s="155"/>
      <c r="S660" s="155"/>
      <c r="X660" s="155"/>
    </row>
    <row r="661" spans="5:24">
      <c r="E661" s="139"/>
      <c r="F661" s="139"/>
      <c r="G661" s="139"/>
      <c r="H661" s="139"/>
      <c r="I661" s="139"/>
      <c r="J661" s="139"/>
      <c r="N661" s="155"/>
      <c r="S661" s="155"/>
      <c r="X661" s="155"/>
    </row>
    <row r="662" spans="5:24">
      <c r="E662" s="139"/>
      <c r="F662" s="139"/>
      <c r="G662" s="139"/>
      <c r="H662" s="139"/>
      <c r="I662" s="139"/>
      <c r="J662" s="139"/>
      <c r="N662" s="155"/>
      <c r="S662" s="155"/>
      <c r="X662" s="155"/>
    </row>
    <row r="663" spans="5:24">
      <c r="E663" s="139"/>
      <c r="F663" s="139"/>
      <c r="G663" s="139"/>
      <c r="H663" s="139"/>
      <c r="I663" s="139"/>
      <c r="J663" s="139"/>
      <c r="N663" s="155"/>
      <c r="S663" s="155"/>
      <c r="X663" s="155"/>
    </row>
    <row r="664" spans="5:24">
      <c r="E664" s="139"/>
      <c r="F664" s="139"/>
      <c r="G664" s="139"/>
      <c r="H664" s="139"/>
      <c r="I664" s="139"/>
      <c r="J664" s="139"/>
      <c r="N664" s="155"/>
      <c r="S664" s="155"/>
      <c r="X664" s="155"/>
    </row>
    <row r="665" spans="5:24">
      <c r="E665" s="139"/>
      <c r="F665" s="139"/>
      <c r="G665" s="139"/>
      <c r="H665" s="139"/>
      <c r="I665" s="139"/>
      <c r="J665" s="139"/>
      <c r="N665" s="155"/>
      <c r="S665" s="155"/>
      <c r="X665" s="155"/>
    </row>
    <row r="666" spans="5:24">
      <c r="E666" s="139"/>
      <c r="F666" s="139"/>
      <c r="G666" s="139"/>
      <c r="H666" s="139"/>
      <c r="I666" s="139"/>
      <c r="J666" s="139"/>
      <c r="N666" s="155"/>
      <c r="S666" s="155"/>
      <c r="X666" s="155"/>
    </row>
    <row r="667" spans="5:24">
      <c r="E667" s="139"/>
      <c r="F667" s="139"/>
      <c r="G667" s="139"/>
      <c r="H667" s="139"/>
      <c r="I667" s="139"/>
      <c r="J667" s="139"/>
      <c r="N667" s="155"/>
      <c r="S667" s="155"/>
      <c r="X667" s="155"/>
    </row>
    <row r="668" spans="5:24">
      <c r="E668" s="139"/>
      <c r="F668" s="139"/>
      <c r="G668" s="139"/>
      <c r="H668" s="139"/>
      <c r="I668" s="139"/>
      <c r="J668" s="139"/>
      <c r="N668" s="155"/>
      <c r="S668" s="155"/>
      <c r="X668" s="155"/>
    </row>
    <row r="669" spans="5:24">
      <c r="E669" s="139"/>
      <c r="F669" s="139"/>
      <c r="G669" s="139"/>
      <c r="H669" s="139"/>
      <c r="I669" s="139"/>
      <c r="J669" s="139"/>
      <c r="N669" s="155"/>
      <c r="S669" s="155"/>
      <c r="X669" s="155"/>
    </row>
    <row r="670" spans="5:24">
      <c r="E670" s="139"/>
      <c r="F670" s="139"/>
      <c r="G670" s="139"/>
      <c r="H670" s="139"/>
      <c r="I670" s="139"/>
      <c r="J670" s="139"/>
      <c r="N670" s="155"/>
      <c r="S670" s="155"/>
      <c r="X670" s="155"/>
    </row>
    <row r="671" spans="5:24">
      <c r="E671" s="139"/>
      <c r="F671" s="139"/>
      <c r="G671" s="139"/>
      <c r="H671" s="139"/>
      <c r="I671" s="139"/>
      <c r="J671" s="139"/>
      <c r="N671" s="155"/>
      <c r="S671" s="155"/>
      <c r="X671" s="155"/>
    </row>
    <row r="672" spans="5:24">
      <c r="E672" s="139"/>
      <c r="F672" s="139"/>
      <c r="G672" s="139"/>
      <c r="H672" s="139"/>
      <c r="I672" s="139"/>
      <c r="J672" s="139"/>
      <c r="N672" s="155"/>
      <c r="S672" s="155"/>
      <c r="X672" s="155"/>
    </row>
    <row r="673" spans="5:24">
      <c r="E673" s="139"/>
      <c r="F673" s="139"/>
      <c r="G673" s="139"/>
      <c r="H673" s="139"/>
      <c r="I673" s="139"/>
      <c r="J673" s="139"/>
      <c r="N673" s="155"/>
      <c r="S673" s="155"/>
      <c r="X673" s="155"/>
    </row>
    <row r="674" spans="5:24">
      <c r="E674" s="139"/>
      <c r="F674" s="139"/>
      <c r="G674" s="139"/>
      <c r="H674" s="139"/>
      <c r="I674" s="139"/>
      <c r="J674" s="139"/>
      <c r="N674" s="155"/>
      <c r="S674" s="155"/>
      <c r="X674" s="155"/>
    </row>
    <row r="675" spans="5:24">
      <c r="E675" s="139"/>
      <c r="F675" s="139"/>
      <c r="G675" s="139"/>
      <c r="H675" s="139"/>
      <c r="I675" s="139"/>
      <c r="J675" s="139"/>
      <c r="N675" s="155"/>
      <c r="S675" s="155"/>
      <c r="X675" s="155"/>
    </row>
    <row r="676" spans="5:24">
      <c r="E676" s="139"/>
      <c r="F676" s="139"/>
      <c r="G676" s="139"/>
      <c r="H676" s="139"/>
      <c r="I676" s="139"/>
      <c r="J676" s="139"/>
      <c r="N676" s="155"/>
      <c r="S676" s="155"/>
      <c r="X676" s="155"/>
    </row>
    <row r="677" spans="5:24">
      <c r="E677" s="139"/>
      <c r="F677" s="139"/>
      <c r="G677" s="139"/>
      <c r="H677" s="139"/>
      <c r="I677" s="139"/>
      <c r="J677" s="139"/>
      <c r="N677" s="155"/>
      <c r="S677" s="155"/>
      <c r="X677" s="155"/>
    </row>
    <row r="678" spans="5:24">
      <c r="E678" s="139"/>
      <c r="F678" s="139"/>
      <c r="G678" s="139"/>
      <c r="H678" s="139"/>
      <c r="I678" s="139"/>
      <c r="J678" s="139"/>
      <c r="N678" s="155"/>
      <c r="S678" s="155"/>
      <c r="X678" s="155"/>
    </row>
    <row r="679" spans="5:24">
      <c r="E679" s="139"/>
      <c r="F679" s="139"/>
      <c r="G679" s="139"/>
      <c r="H679" s="139"/>
      <c r="I679" s="139"/>
      <c r="J679" s="139"/>
      <c r="N679" s="155"/>
      <c r="S679" s="155"/>
      <c r="X679" s="155"/>
    </row>
    <row r="680" spans="5:24">
      <c r="E680" s="139"/>
      <c r="F680" s="139"/>
      <c r="G680" s="139"/>
      <c r="H680" s="139"/>
      <c r="I680" s="139"/>
      <c r="J680" s="139"/>
      <c r="N680" s="155"/>
      <c r="S680" s="155"/>
      <c r="X680" s="155"/>
    </row>
    <row r="681" spans="5:24">
      <c r="E681" s="139"/>
      <c r="F681" s="139"/>
      <c r="G681" s="139"/>
      <c r="H681" s="139"/>
      <c r="I681" s="139"/>
      <c r="J681" s="139"/>
      <c r="N681" s="155"/>
      <c r="S681" s="155"/>
      <c r="X681" s="155"/>
    </row>
    <row r="682" spans="5:24">
      <c r="E682" s="139"/>
      <c r="F682" s="139"/>
      <c r="G682" s="139"/>
      <c r="H682" s="139"/>
      <c r="I682" s="139"/>
      <c r="J682" s="139"/>
      <c r="N682" s="155"/>
      <c r="S682" s="155"/>
      <c r="X682" s="155"/>
    </row>
    <row r="683" spans="5:24">
      <c r="E683" s="139"/>
      <c r="F683" s="139"/>
      <c r="G683" s="139"/>
      <c r="H683" s="139"/>
      <c r="I683" s="139"/>
      <c r="J683" s="139"/>
      <c r="N683" s="155"/>
      <c r="S683" s="155"/>
      <c r="X683" s="155"/>
    </row>
    <row r="684" spans="5:24">
      <c r="E684" s="139"/>
      <c r="F684" s="139"/>
      <c r="G684" s="139"/>
      <c r="H684" s="139"/>
      <c r="I684" s="139"/>
      <c r="J684" s="139"/>
      <c r="N684" s="155"/>
      <c r="S684" s="155"/>
      <c r="X684" s="155"/>
    </row>
    <row r="685" spans="5:24">
      <c r="E685" s="139"/>
      <c r="F685" s="139"/>
      <c r="G685" s="139"/>
      <c r="H685" s="139"/>
      <c r="I685" s="139"/>
      <c r="J685" s="139"/>
      <c r="N685" s="155"/>
      <c r="S685" s="155"/>
      <c r="X685" s="155"/>
    </row>
    <row r="686" spans="5:24">
      <c r="E686" s="139"/>
      <c r="F686" s="139"/>
      <c r="G686" s="139"/>
      <c r="H686" s="139"/>
      <c r="I686" s="139"/>
      <c r="J686" s="139"/>
      <c r="N686" s="155"/>
      <c r="S686" s="155"/>
      <c r="X686" s="155"/>
    </row>
    <row r="687" spans="5:24">
      <c r="E687" s="139"/>
      <c r="F687" s="139"/>
      <c r="G687" s="139"/>
      <c r="H687" s="139"/>
      <c r="I687" s="139"/>
      <c r="J687" s="139"/>
      <c r="N687" s="155"/>
      <c r="S687" s="155"/>
      <c r="X687" s="155"/>
    </row>
    <row r="688" spans="5:24">
      <c r="E688" s="139"/>
      <c r="F688" s="139"/>
      <c r="G688" s="139"/>
      <c r="H688" s="139"/>
      <c r="I688" s="139"/>
      <c r="J688" s="139"/>
      <c r="N688" s="155"/>
      <c r="S688" s="155"/>
      <c r="X688" s="155"/>
    </row>
    <row r="689" spans="5:24">
      <c r="E689" s="139"/>
      <c r="F689" s="139"/>
      <c r="G689" s="139"/>
      <c r="H689" s="139"/>
      <c r="I689" s="139"/>
      <c r="J689" s="139"/>
      <c r="N689" s="155"/>
      <c r="S689" s="155"/>
      <c r="X689" s="155"/>
    </row>
    <row r="690" spans="5:24">
      <c r="E690" s="139"/>
      <c r="F690" s="139"/>
      <c r="G690" s="139"/>
      <c r="H690" s="139"/>
      <c r="I690" s="139"/>
      <c r="J690" s="139"/>
      <c r="N690" s="155"/>
      <c r="S690" s="155"/>
      <c r="X690" s="155"/>
    </row>
    <row r="691" spans="5:24">
      <c r="E691" s="139"/>
      <c r="F691" s="139"/>
      <c r="G691" s="139"/>
      <c r="H691" s="139"/>
      <c r="I691" s="139"/>
      <c r="J691" s="139"/>
      <c r="N691" s="155"/>
      <c r="S691" s="155"/>
      <c r="X691" s="155"/>
    </row>
    <row r="692" spans="5:24">
      <c r="E692" s="139"/>
      <c r="F692" s="139"/>
      <c r="G692" s="139"/>
      <c r="H692" s="139"/>
      <c r="I692" s="139"/>
      <c r="J692" s="139"/>
      <c r="N692" s="155"/>
      <c r="S692" s="155"/>
      <c r="X692" s="155"/>
    </row>
    <row r="693" spans="5:24">
      <c r="E693" s="139"/>
      <c r="F693" s="139"/>
      <c r="G693" s="139"/>
      <c r="H693" s="139"/>
      <c r="I693" s="139"/>
      <c r="J693" s="139"/>
      <c r="N693" s="155"/>
      <c r="S693" s="155"/>
      <c r="X693" s="155"/>
    </row>
    <row r="694" spans="5:24">
      <c r="E694" s="139"/>
      <c r="F694" s="139"/>
      <c r="G694" s="139"/>
      <c r="H694" s="139"/>
      <c r="I694" s="139"/>
      <c r="J694" s="139"/>
      <c r="N694" s="155"/>
      <c r="S694" s="155"/>
      <c r="X694" s="155"/>
    </row>
    <row r="695" spans="5:24">
      <c r="E695" s="139"/>
      <c r="F695" s="139"/>
      <c r="G695" s="139"/>
      <c r="H695" s="139"/>
      <c r="I695" s="139"/>
      <c r="J695" s="139"/>
      <c r="N695" s="155"/>
      <c r="S695" s="155"/>
      <c r="X695" s="155"/>
    </row>
    <row r="696" spans="5:24">
      <c r="E696" s="139"/>
      <c r="F696" s="139"/>
      <c r="G696" s="139"/>
      <c r="H696" s="139"/>
      <c r="I696" s="139"/>
      <c r="J696" s="139"/>
      <c r="N696" s="155"/>
      <c r="S696" s="155"/>
      <c r="X696" s="155"/>
    </row>
    <row r="697" spans="5:24">
      <c r="E697" s="139"/>
      <c r="F697" s="139"/>
      <c r="G697" s="139"/>
      <c r="H697" s="139"/>
      <c r="I697" s="139"/>
      <c r="J697" s="139"/>
      <c r="N697" s="155"/>
      <c r="S697" s="155"/>
      <c r="X697" s="155"/>
    </row>
    <row r="698" spans="5:24">
      <c r="E698" s="139"/>
      <c r="F698" s="139"/>
      <c r="G698" s="139"/>
      <c r="H698" s="139"/>
      <c r="I698" s="139"/>
      <c r="J698" s="139"/>
      <c r="N698" s="155"/>
      <c r="S698" s="155"/>
      <c r="X698" s="155"/>
    </row>
    <row r="699" spans="5:24">
      <c r="E699" s="139"/>
      <c r="F699" s="139"/>
      <c r="G699" s="139"/>
      <c r="H699" s="139"/>
      <c r="I699" s="139"/>
      <c r="J699" s="139"/>
      <c r="N699" s="155"/>
      <c r="S699" s="155"/>
      <c r="X699" s="155"/>
    </row>
    <row r="700" spans="5:24">
      <c r="E700" s="139"/>
      <c r="F700" s="139"/>
      <c r="G700" s="139"/>
      <c r="H700" s="139"/>
      <c r="I700" s="139"/>
      <c r="J700" s="139"/>
      <c r="N700" s="155"/>
      <c r="S700" s="155"/>
      <c r="X700" s="155"/>
    </row>
    <row r="701" spans="5:24">
      <c r="E701" s="139"/>
      <c r="F701" s="139"/>
      <c r="G701" s="139"/>
      <c r="H701" s="139"/>
      <c r="I701" s="139"/>
      <c r="J701" s="139"/>
      <c r="N701" s="155"/>
      <c r="S701" s="155"/>
      <c r="X701" s="155"/>
    </row>
    <row r="702" spans="5:24">
      <c r="E702" s="139"/>
      <c r="F702" s="139"/>
      <c r="G702" s="139"/>
      <c r="H702" s="139"/>
      <c r="I702" s="139"/>
      <c r="J702" s="139"/>
      <c r="N702" s="155"/>
      <c r="S702" s="155"/>
      <c r="X702" s="155"/>
    </row>
    <row r="703" spans="5:24">
      <c r="E703" s="139"/>
      <c r="F703" s="139"/>
      <c r="G703" s="139"/>
      <c r="H703" s="139"/>
      <c r="I703" s="139"/>
      <c r="J703" s="139"/>
      <c r="N703" s="155"/>
      <c r="S703" s="155"/>
      <c r="X703" s="155"/>
    </row>
    <row r="704" spans="5:24">
      <c r="E704" s="139"/>
      <c r="F704" s="139"/>
      <c r="G704" s="139"/>
      <c r="H704" s="139"/>
      <c r="I704" s="139"/>
      <c r="J704" s="139"/>
      <c r="N704" s="155"/>
      <c r="S704" s="155"/>
      <c r="X704" s="155"/>
    </row>
    <row r="705" spans="5:24">
      <c r="E705" s="139"/>
      <c r="F705" s="139"/>
      <c r="G705" s="139"/>
      <c r="H705" s="139"/>
      <c r="I705" s="139"/>
      <c r="J705" s="139"/>
      <c r="N705" s="155"/>
      <c r="S705" s="155"/>
      <c r="X705" s="155"/>
    </row>
    <row r="706" spans="5:24">
      <c r="E706" s="139"/>
      <c r="F706" s="139"/>
      <c r="G706" s="139"/>
      <c r="H706" s="139"/>
      <c r="I706" s="139"/>
      <c r="J706" s="139"/>
      <c r="N706" s="155"/>
      <c r="S706" s="155"/>
      <c r="X706" s="155"/>
    </row>
    <row r="707" spans="5:24">
      <c r="E707" s="139"/>
      <c r="F707" s="139"/>
      <c r="G707" s="139"/>
      <c r="H707" s="139"/>
      <c r="I707" s="139"/>
      <c r="J707" s="139"/>
      <c r="N707" s="155"/>
      <c r="S707" s="155"/>
      <c r="X707" s="155"/>
    </row>
    <row r="708" spans="5:24">
      <c r="E708" s="139"/>
      <c r="F708" s="139"/>
      <c r="G708" s="139"/>
      <c r="H708" s="139"/>
      <c r="I708" s="139"/>
      <c r="J708" s="139"/>
      <c r="N708" s="155"/>
      <c r="S708" s="155"/>
      <c r="X708" s="155"/>
    </row>
    <row r="709" spans="5:24">
      <c r="E709" s="139"/>
      <c r="F709" s="139"/>
      <c r="G709" s="139"/>
      <c r="H709" s="139"/>
      <c r="I709" s="139"/>
      <c r="J709" s="139"/>
      <c r="N709" s="155"/>
      <c r="S709" s="155"/>
      <c r="X709" s="155"/>
    </row>
    <row r="710" spans="5:24">
      <c r="E710" s="139"/>
      <c r="F710" s="139"/>
      <c r="G710" s="139"/>
      <c r="H710" s="139"/>
      <c r="I710" s="139"/>
      <c r="J710" s="139"/>
      <c r="N710" s="155"/>
      <c r="S710" s="155"/>
      <c r="X710" s="155"/>
    </row>
    <row r="711" spans="5:24">
      <c r="E711" s="139"/>
      <c r="F711" s="139"/>
      <c r="G711" s="139"/>
      <c r="H711" s="139"/>
      <c r="I711" s="139"/>
      <c r="J711" s="139"/>
      <c r="N711" s="155"/>
      <c r="S711" s="155"/>
      <c r="X711" s="155"/>
    </row>
    <row r="712" spans="5:24">
      <c r="E712" s="139"/>
      <c r="F712" s="139"/>
      <c r="G712" s="139"/>
      <c r="H712" s="139"/>
      <c r="I712" s="139"/>
      <c r="J712" s="139"/>
      <c r="N712" s="155"/>
      <c r="S712" s="155"/>
      <c r="X712" s="155"/>
    </row>
    <row r="713" spans="5:24">
      <c r="E713" s="139"/>
      <c r="F713" s="139"/>
      <c r="G713" s="139"/>
      <c r="H713" s="139"/>
      <c r="I713" s="139"/>
      <c r="J713" s="139"/>
      <c r="N713" s="155"/>
      <c r="S713" s="155"/>
      <c r="X713" s="155"/>
    </row>
    <row r="714" spans="5:24">
      <c r="E714" s="139"/>
      <c r="F714" s="139"/>
      <c r="G714" s="139"/>
      <c r="H714" s="139"/>
      <c r="I714" s="139"/>
      <c r="J714" s="139"/>
      <c r="N714" s="155"/>
      <c r="S714" s="155"/>
      <c r="X714" s="155"/>
    </row>
    <row r="715" spans="5:24">
      <c r="E715" s="139"/>
      <c r="F715" s="139"/>
      <c r="G715" s="139"/>
      <c r="H715" s="139"/>
      <c r="I715" s="139"/>
      <c r="J715" s="139"/>
      <c r="N715" s="155"/>
      <c r="S715" s="155"/>
      <c r="X715" s="155"/>
    </row>
    <row r="716" spans="5:24">
      <c r="E716" s="139"/>
      <c r="F716" s="139"/>
      <c r="G716" s="139"/>
      <c r="H716" s="139"/>
      <c r="I716" s="139"/>
      <c r="J716" s="139"/>
      <c r="N716" s="155"/>
      <c r="S716" s="155"/>
      <c r="X716" s="155"/>
    </row>
    <row r="717" spans="5:24">
      <c r="E717" s="139"/>
      <c r="F717" s="139"/>
      <c r="G717" s="139"/>
      <c r="H717" s="139"/>
      <c r="I717" s="139"/>
      <c r="J717" s="139"/>
      <c r="N717" s="155"/>
      <c r="S717" s="155"/>
      <c r="X717" s="155"/>
    </row>
    <row r="718" spans="5:24">
      <c r="E718" s="139"/>
      <c r="F718" s="139"/>
      <c r="G718" s="139"/>
      <c r="H718" s="139"/>
      <c r="I718" s="139"/>
      <c r="J718" s="139"/>
      <c r="N718" s="155"/>
      <c r="S718" s="155"/>
      <c r="X718" s="155"/>
    </row>
    <row r="719" spans="5:24">
      <c r="E719" s="139"/>
      <c r="F719" s="139"/>
      <c r="G719" s="139"/>
      <c r="H719" s="139"/>
      <c r="I719" s="139"/>
      <c r="J719" s="139"/>
      <c r="N719" s="155"/>
      <c r="S719" s="155"/>
      <c r="X719" s="155"/>
    </row>
    <row r="720" spans="5:24">
      <c r="E720" s="139"/>
      <c r="F720" s="139"/>
      <c r="G720" s="139"/>
      <c r="H720" s="139"/>
      <c r="I720" s="139"/>
      <c r="J720" s="139"/>
      <c r="N720" s="155"/>
      <c r="S720" s="155"/>
      <c r="X720" s="155"/>
    </row>
    <row r="721" spans="5:24">
      <c r="E721" s="139"/>
      <c r="F721" s="139"/>
      <c r="G721" s="139"/>
      <c r="H721" s="139"/>
      <c r="I721" s="139"/>
      <c r="J721" s="139"/>
      <c r="N721" s="155"/>
      <c r="S721" s="155"/>
      <c r="X721" s="155"/>
    </row>
    <row r="722" spans="5:24">
      <c r="E722" s="139"/>
      <c r="F722" s="139"/>
      <c r="G722" s="139"/>
      <c r="H722" s="139"/>
      <c r="I722" s="139"/>
      <c r="J722" s="139"/>
      <c r="N722" s="155"/>
      <c r="S722" s="155"/>
      <c r="X722" s="155"/>
    </row>
    <row r="723" spans="5:24">
      <c r="E723" s="139"/>
      <c r="F723" s="139"/>
      <c r="G723" s="139"/>
      <c r="H723" s="139"/>
      <c r="I723" s="139"/>
      <c r="J723" s="139"/>
      <c r="N723" s="155"/>
      <c r="S723" s="155"/>
    </row>
    <row r="724" spans="5:24">
      <c r="E724" s="139"/>
      <c r="F724" s="139"/>
      <c r="G724" s="139"/>
      <c r="H724" s="139"/>
      <c r="I724" s="139"/>
      <c r="J724" s="139"/>
      <c r="N724" s="155"/>
      <c r="S724" s="155"/>
    </row>
    <row r="725" spans="5:24">
      <c r="E725" s="139"/>
      <c r="F725" s="139"/>
      <c r="G725" s="139"/>
      <c r="H725" s="139"/>
      <c r="I725" s="139"/>
      <c r="J725" s="139"/>
      <c r="N725" s="155"/>
      <c r="S725" s="155"/>
    </row>
    <row r="726" spans="5:24">
      <c r="E726" s="139"/>
      <c r="F726" s="139"/>
      <c r="G726" s="139"/>
      <c r="H726" s="139"/>
      <c r="I726" s="139"/>
      <c r="J726" s="139"/>
      <c r="N726" s="155"/>
      <c r="S726" s="155"/>
    </row>
    <row r="727" spans="5:24">
      <c r="E727" s="139"/>
      <c r="F727" s="139"/>
      <c r="G727" s="139"/>
      <c r="H727" s="139"/>
      <c r="I727" s="139"/>
      <c r="J727" s="139"/>
      <c r="N727" s="155"/>
      <c r="S727" s="155"/>
    </row>
    <row r="728" spans="5:24">
      <c r="E728" s="139"/>
      <c r="F728" s="139"/>
      <c r="G728" s="139"/>
      <c r="H728" s="139"/>
      <c r="I728" s="139"/>
      <c r="J728" s="139"/>
      <c r="N728" s="155"/>
      <c r="S728" s="155"/>
    </row>
    <row r="729" spans="5:24">
      <c r="E729" s="139"/>
      <c r="F729" s="139"/>
      <c r="G729" s="139"/>
      <c r="H729" s="139"/>
      <c r="I729" s="139"/>
      <c r="J729" s="139"/>
      <c r="N729" s="155"/>
      <c r="S729" s="155"/>
    </row>
    <row r="730" spans="5:24">
      <c r="E730" s="139"/>
      <c r="F730" s="139"/>
      <c r="G730" s="139"/>
      <c r="H730" s="139"/>
      <c r="I730" s="139"/>
      <c r="J730" s="139"/>
      <c r="N730" s="155"/>
      <c r="S730" s="155"/>
    </row>
    <row r="731" spans="5:24">
      <c r="E731" s="139"/>
      <c r="F731" s="139"/>
      <c r="G731" s="139"/>
      <c r="H731" s="139"/>
      <c r="I731" s="139"/>
      <c r="J731" s="139"/>
      <c r="N731" s="155"/>
      <c r="S731" s="155"/>
    </row>
    <row r="732" spans="5:24">
      <c r="E732" s="139"/>
      <c r="F732" s="139"/>
      <c r="G732" s="139"/>
      <c r="H732" s="139"/>
      <c r="I732" s="139"/>
      <c r="J732" s="139"/>
      <c r="N732" s="155"/>
      <c r="S732" s="155"/>
    </row>
    <row r="733" spans="5:24">
      <c r="E733" s="139"/>
      <c r="F733" s="139"/>
      <c r="G733" s="139"/>
      <c r="H733" s="139"/>
      <c r="I733" s="139"/>
      <c r="J733" s="139"/>
      <c r="N733" s="155"/>
      <c r="S733" s="155"/>
    </row>
    <row r="734" spans="5:24">
      <c r="E734" s="139"/>
      <c r="F734" s="139"/>
      <c r="G734" s="139"/>
      <c r="H734" s="139"/>
      <c r="I734" s="139"/>
      <c r="J734" s="139"/>
      <c r="N734" s="155"/>
      <c r="S734" s="155"/>
    </row>
    <row r="735" spans="5:24">
      <c r="E735" s="139"/>
      <c r="F735" s="139"/>
      <c r="G735" s="139"/>
      <c r="H735" s="139"/>
      <c r="I735" s="139"/>
      <c r="J735" s="139"/>
      <c r="N735" s="155"/>
      <c r="S735" s="155"/>
    </row>
    <row r="736" spans="5:24">
      <c r="E736" s="139"/>
      <c r="F736" s="139"/>
      <c r="G736" s="139"/>
      <c r="H736" s="139"/>
      <c r="I736" s="139"/>
      <c r="J736" s="139"/>
      <c r="N736" s="155"/>
      <c r="S736" s="155"/>
    </row>
    <row r="737" spans="5:19">
      <c r="E737" s="139"/>
      <c r="F737" s="139"/>
      <c r="G737" s="139"/>
      <c r="H737" s="139"/>
      <c r="I737" s="139"/>
      <c r="J737" s="139"/>
      <c r="N737" s="155"/>
      <c r="S737" s="155"/>
    </row>
    <row r="738" spans="5:19">
      <c r="E738" s="139"/>
      <c r="F738" s="139"/>
      <c r="G738" s="139"/>
      <c r="H738" s="139"/>
      <c r="I738" s="139"/>
      <c r="J738" s="139"/>
      <c r="N738" s="155"/>
      <c r="S738" s="155"/>
    </row>
    <row r="739" spans="5:19">
      <c r="E739" s="139"/>
      <c r="F739" s="139"/>
      <c r="G739" s="139"/>
      <c r="H739" s="139"/>
      <c r="I739" s="139"/>
      <c r="J739" s="139"/>
      <c r="N739" s="155"/>
      <c r="S739" s="155"/>
    </row>
    <row r="740" spans="5:19">
      <c r="E740" s="139"/>
      <c r="F740" s="139"/>
      <c r="G740" s="139"/>
      <c r="H740" s="139"/>
      <c r="I740" s="139"/>
      <c r="J740" s="139"/>
      <c r="N740" s="155"/>
      <c r="S740" s="155"/>
    </row>
    <row r="741" spans="5:19">
      <c r="E741" s="139"/>
      <c r="F741" s="139"/>
      <c r="G741" s="139"/>
      <c r="H741" s="139"/>
      <c r="I741" s="139"/>
      <c r="J741" s="139"/>
      <c r="N741" s="155"/>
      <c r="S741" s="155"/>
    </row>
    <row r="742" spans="5:19">
      <c r="E742" s="139"/>
      <c r="F742" s="139"/>
      <c r="G742" s="139"/>
      <c r="H742" s="139"/>
      <c r="I742" s="139"/>
      <c r="J742" s="139"/>
      <c r="N742" s="155"/>
      <c r="S742" s="155"/>
    </row>
    <row r="743" spans="5:19">
      <c r="E743" s="139"/>
      <c r="F743" s="139"/>
      <c r="G743" s="139"/>
      <c r="H743" s="139"/>
      <c r="I743" s="139"/>
      <c r="J743" s="139"/>
      <c r="N743" s="155"/>
      <c r="S743" s="155"/>
    </row>
    <row r="744" spans="5:19">
      <c r="E744" s="139"/>
      <c r="F744" s="139"/>
      <c r="G744" s="139"/>
      <c r="H744" s="139"/>
      <c r="I744" s="139"/>
      <c r="J744" s="139"/>
      <c r="N744" s="155"/>
      <c r="S744" s="155"/>
    </row>
    <row r="745" spans="5:19">
      <c r="E745" s="139"/>
      <c r="F745" s="139"/>
      <c r="G745" s="139"/>
      <c r="H745" s="139"/>
      <c r="I745" s="139"/>
      <c r="J745" s="139"/>
      <c r="N745" s="155"/>
      <c r="S745" s="155"/>
    </row>
    <row r="746" spans="5:19">
      <c r="E746" s="139"/>
      <c r="F746" s="139"/>
      <c r="G746" s="139"/>
      <c r="H746" s="139"/>
      <c r="I746" s="139"/>
      <c r="J746" s="139"/>
      <c r="N746" s="155"/>
      <c r="S746" s="155"/>
    </row>
    <row r="747" spans="5:19">
      <c r="E747" s="139"/>
      <c r="F747" s="139"/>
      <c r="G747" s="139"/>
      <c r="H747" s="139"/>
      <c r="I747" s="139"/>
      <c r="J747" s="139"/>
      <c r="N747" s="155"/>
      <c r="S747" s="155"/>
    </row>
    <row r="748" spans="5:19">
      <c r="E748" s="139"/>
      <c r="F748" s="139"/>
      <c r="G748" s="139"/>
      <c r="H748" s="139"/>
      <c r="I748" s="139"/>
      <c r="J748" s="139"/>
      <c r="N748" s="155"/>
      <c r="S748" s="155"/>
    </row>
    <row r="749" spans="5:19">
      <c r="E749" s="139"/>
      <c r="F749" s="139"/>
      <c r="G749" s="139"/>
      <c r="H749" s="139"/>
      <c r="I749" s="139"/>
      <c r="J749" s="139"/>
      <c r="N749" s="155"/>
      <c r="S749" s="155"/>
    </row>
    <row r="750" spans="5:19">
      <c r="E750" s="139"/>
      <c r="F750" s="139"/>
      <c r="G750" s="139"/>
      <c r="H750" s="139"/>
      <c r="I750" s="139"/>
      <c r="J750" s="139"/>
      <c r="N750" s="155"/>
      <c r="S750" s="155"/>
    </row>
    <row r="751" spans="5:19">
      <c r="E751" s="139"/>
      <c r="F751" s="139"/>
      <c r="G751" s="139"/>
      <c r="H751" s="139"/>
      <c r="I751" s="139"/>
      <c r="J751" s="139"/>
      <c r="N751" s="155"/>
      <c r="S751" s="155"/>
    </row>
    <row r="752" spans="5:19">
      <c r="E752" s="139"/>
      <c r="F752" s="139"/>
      <c r="G752" s="139"/>
      <c r="H752" s="139"/>
      <c r="I752" s="139"/>
      <c r="J752" s="139"/>
      <c r="N752" s="155"/>
      <c r="S752" s="155"/>
    </row>
    <row r="753" spans="5:19">
      <c r="E753" s="139"/>
      <c r="F753" s="139"/>
      <c r="G753" s="139"/>
      <c r="H753" s="139"/>
      <c r="I753" s="139"/>
      <c r="J753" s="139"/>
      <c r="N753" s="155"/>
      <c r="S753" s="155"/>
    </row>
    <row r="754" spans="5:19">
      <c r="E754" s="139"/>
      <c r="F754" s="139"/>
      <c r="G754" s="139"/>
      <c r="H754" s="139"/>
      <c r="I754" s="139"/>
      <c r="J754" s="139"/>
      <c r="N754" s="155"/>
      <c r="S754" s="155"/>
    </row>
    <row r="755" spans="5:19">
      <c r="E755" s="139"/>
      <c r="F755" s="139"/>
      <c r="G755" s="139"/>
      <c r="H755" s="139"/>
      <c r="I755" s="139"/>
      <c r="J755" s="139"/>
      <c r="N755" s="155"/>
      <c r="S755" s="155"/>
    </row>
    <row r="756" spans="5:19">
      <c r="E756" s="139"/>
      <c r="F756" s="139"/>
      <c r="G756" s="139"/>
      <c r="H756" s="139"/>
      <c r="I756" s="139"/>
      <c r="J756" s="139"/>
      <c r="N756" s="155"/>
      <c r="S756" s="155"/>
    </row>
    <row r="757" spans="5:19">
      <c r="E757" s="139"/>
      <c r="F757" s="139"/>
      <c r="G757" s="139"/>
      <c r="H757" s="139"/>
      <c r="I757" s="139"/>
      <c r="J757" s="139"/>
      <c r="N757" s="155"/>
      <c r="S757" s="155"/>
    </row>
    <row r="758" spans="5:19">
      <c r="E758" s="139"/>
      <c r="F758" s="139"/>
      <c r="G758" s="139"/>
      <c r="H758" s="139"/>
      <c r="I758" s="139"/>
      <c r="J758" s="139"/>
      <c r="N758" s="155"/>
      <c r="S758" s="155"/>
    </row>
    <row r="759" spans="5:19">
      <c r="E759" s="139"/>
      <c r="F759" s="139"/>
      <c r="G759" s="139"/>
      <c r="H759" s="139"/>
      <c r="I759" s="139"/>
      <c r="J759" s="139"/>
      <c r="N759" s="155"/>
      <c r="S759" s="155"/>
    </row>
    <row r="760" spans="5:19">
      <c r="E760" s="139"/>
      <c r="F760" s="139"/>
      <c r="G760" s="139"/>
      <c r="H760" s="139"/>
      <c r="I760" s="139"/>
      <c r="J760" s="139"/>
      <c r="N760" s="155"/>
      <c r="S760" s="155"/>
    </row>
    <row r="761" spans="5:19">
      <c r="E761" s="139"/>
      <c r="F761" s="139"/>
      <c r="G761" s="139"/>
      <c r="H761" s="139"/>
      <c r="I761" s="139"/>
      <c r="J761" s="139"/>
      <c r="N761" s="155"/>
      <c r="S761" s="155"/>
    </row>
    <row r="762" spans="5:19">
      <c r="E762" s="139"/>
      <c r="F762" s="139"/>
      <c r="G762" s="139"/>
      <c r="H762" s="139"/>
      <c r="I762" s="139"/>
      <c r="J762" s="139"/>
      <c r="N762" s="155"/>
      <c r="S762" s="155"/>
    </row>
    <row r="763" spans="5:19">
      <c r="E763" s="139"/>
      <c r="F763" s="139"/>
      <c r="G763" s="139"/>
      <c r="H763" s="139"/>
      <c r="I763" s="139"/>
      <c r="J763" s="139"/>
      <c r="N763" s="155"/>
      <c r="S763" s="155"/>
    </row>
    <row r="764" spans="5:19">
      <c r="E764" s="139"/>
      <c r="F764" s="139"/>
      <c r="G764" s="139"/>
      <c r="H764" s="139"/>
      <c r="I764" s="139"/>
      <c r="J764" s="139"/>
      <c r="N764" s="155"/>
      <c r="S764" s="155"/>
    </row>
    <row r="765" spans="5:19">
      <c r="E765" s="139"/>
      <c r="F765" s="139"/>
      <c r="G765" s="139"/>
      <c r="H765" s="139"/>
      <c r="I765" s="139"/>
      <c r="J765" s="139"/>
      <c r="N765" s="155"/>
      <c r="S765" s="155"/>
    </row>
    <row r="766" spans="5:19">
      <c r="E766" s="139"/>
      <c r="F766" s="139"/>
      <c r="G766" s="139"/>
      <c r="H766" s="139"/>
      <c r="I766" s="139"/>
      <c r="J766" s="139"/>
      <c r="N766" s="155"/>
      <c r="S766" s="155"/>
    </row>
    <row r="767" spans="5:19">
      <c r="E767" s="139"/>
      <c r="F767" s="139"/>
      <c r="G767" s="139"/>
      <c r="H767" s="139"/>
      <c r="I767" s="139"/>
      <c r="J767" s="139"/>
      <c r="N767" s="155"/>
      <c r="S767" s="155"/>
    </row>
    <row r="768" spans="5:19">
      <c r="E768" s="139"/>
      <c r="F768" s="139"/>
      <c r="G768" s="139"/>
      <c r="H768" s="139"/>
      <c r="I768" s="139"/>
      <c r="J768" s="139"/>
      <c r="N768" s="155"/>
      <c r="S768" s="155"/>
    </row>
    <row r="769" spans="5:19">
      <c r="E769" s="139"/>
      <c r="F769" s="139"/>
      <c r="G769" s="139"/>
      <c r="H769" s="139"/>
      <c r="I769" s="139"/>
      <c r="J769" s="139"/>
      <c r="N769" s="155"/>
      <c r="S769" s="155"/>
    </row>
    <row r="770" spans="5:19">
      <c r="E770" s="139"/>
      <c r="F770" s="139"/>
      <c r="G770" s="139"/>
      <c r="H770" s="139"/>
      <c r="I770" s="139"/>
      <c r="J770" s="139"/>
      <c r="N770" s="155"/>
      <c r="S770" s="155"/>
    </row>
    <row r="771" spans="5:19">
      <c r="E771" s="139"/>
      <c r="F771" s="139"/>
      <c r="G771" s="139"/>
      <c r="H771" s="139"/>
      <c r="I771" s="139"/>
      <c r="J771" s="139"/>
      <c r="N771" s="155"/>
      <c r="S771" s="155"/>
    </row>
    <row r="772" spans="5:19">
      <c r="E772" s="139"/>
      <c r="F772" s="139"/>
      <c r="G772" s="139"/>
      <c r="H772" s="139"/>
      <c r="I772" s="139"/>
      <c r="J772" s="139"/>
      <c r="N772" s="155"/>
      <c r="S772" s="155"/>
    </row>
    <row r="773" spans="5:19">
      <c r="E773" s="139"/>
      <c r="F773" s="139"/>
      <c r="G773" s="139"/>
      <c r="H773" s="139"/>
      <c r="I773" s="139"/>
      <c r="J773" s="139"/>
      <c r="N773" s="155"/>
      <c r="S773" s="155"/>
    </row>
    <row r="774" spans="5:19">
      <c r="E774" s="139"/>
      <c r="F774" s="139"/>
      <c r="G774" s="139"/>
      <c r="H774" s="139"/>
      <c r="I774" s="139"/>
      <c r="J774" s="139"/>
      <c r="N774" s="155"/>
      <c r="S774" s="155"/>
    </row>
    <row r="775" spans="5:19">
      <c r="E775" s="139"/>
      <c r="F775" s="139"/>
      <c r="G775" s="139"/>
      <c r="H775" s="139"/>
      <c r="I775" s="139"/>
      <c r="J775" s="139"/>
      <c r="N775" s="155"/>
      <c r="S775" s="155"/>
    </row>
    <row r="776" spans="5:19">
      <c r="E776" s="139"/>
      <c r="F776" s="139"/>
      <c r="G776" s="139"/>
      <c r="H776" s="139"/>
      <c r="I776" s="139"/>
      <c r="J776" s="139"/>
      <c r="N776" s="155"/>
      <c r="S776" s="155"/>
    </row>
    <row r="777" spans="5:19">
      <c r="E777" s="139"/>
      <c r="F777" s="139"/>
      <c r="G777" s="139"/>
      <c r="H777" s="139"/>
      <c r="I777" s="139"/>
      <c r="J777" s="139"/>
      <c r="N777" s="155"/>
      <c r="S777" s="155"/>
    </row>
    <row r="778" spans="5:19">
      <c r="E778" s="139"/>
      <c r="F778" s="139"/>
      <c r="G778" s="139"/>
      <c r="H778" s="139"/>
      <c r="I778" s="139"/>
      <c r="J778" s="139"/>
      <c r="N778" s="155"/>
      <c r="S778" s="155"/>
    </row>
    <row r="779" spans="5:19">
      <c r="E779" s="139"/>
      <c r="F779" s="139"/>
      <c r="G779" s="139"/>
      <c r="H779" s="139"/>
      <c r="I779" s="139"/>
      <c r="J779" s="139"/>
      <c r="N779" s="155"/>
      <c r="S779" s="155"/>
    </row>
    <row r="780" spans="5:19">
      <c r="E780" s="139"/>
      <c r="F780" s="139"/>
      <c r="G780" s="139"/>
      <c r="H780" s="139"/>
      <c r="I780" s="139"/>
      <c r="J780" s="139"/>
      <c r="N780" s="155"/>
      <c r="S780" s="155"/>
    </row>
    <row r="781" spans="5:19">
      <c r="E781" s="139"/>
      <c r="F781" s="139"/>
      <c r="G781" s="139"/>
      <c r="H781" s="139"/>
      <c r="I781" s="139"/>
      <c r="J781" s="139"/>
      <c r="N781" s="155"/>
      <c r="S781" s="155"/>
    </row>
    <row r="782" spans="5:19">
      <c r="E782" s="139"/>
      <c r="F782" s="139"/>
      <c r="G782" s="139"/>
      <c r="H782" s="139"/>
      <c r="I782" s="139"/>
      <c r="J782" s="139"/>
      <c r="N782" s="155"/>
      <c r="S782" s="155"/>
    </row>
    <row r="783" spans="5:19">
      <c r="E783" s="139"/>
      <c r="F783" s="139"/>
      <c r="G783" s="139"/>
      <c r="H783" s="139"/>
      <c r="I783" s="139"/>
      <c r="J783" s="139"/>
      <c r="N783" s="155"/>
      <c r="S783" s="155"/>
    </row>
    <row r="784" spans="5:19">
      <c r="E784" s="139"/>
      <c r="F784" s="139"/>
      <c r="G784" s="139"/>
      <c r="H784" s="139"/>
      <c r="I784" s="139"/>
      <c r="J784" s="139"/>
      <c r="N784" s="155"/>
      <c r="S784" s="155"/>
    </row>
    <row r="785" spans="5:19">
      <c r="E785" s="139"/>
      <c r="F785" s="139"/>
      <c r="G785" s="139"/>
      <c r="H785" s="139"/>
      <c r="I785" s="139"/>
      <c r="J785" s="139"/>
      <c r="N785" s="155"/>
      <c r="S785" s="155"/>
    </row>
    <row r="786" spans="5:19">
      <c r="E786" s="139"/>
      <c r="F786" s="139"/>
      <c r="G786" s="139"/>
      <c r="H786" s="139"/>
      <c r="I786" s="139"/>
      <c r="J786" s="139"/>
      <c r="N786" s="155"/>
      <c r="S786" s="155"/>
    </row>
    <row r="787" spans="5:19">
      <c r="E787" s="139"/>
      <c r="F787" s="139"/>
      <c r="G787" s="139"/>
      <c r="H787" s="139"/>
      <c r="I787" s="139"/>
      <c r="J787" s="139"/>
      <c r="N787" s="155"/>
      <c r="S787" s="155"/>
    </row>
    <row r="788" spans="5:19">
      <c r="E788" s="139"/>
      <c r="F788" s="139"/>
      <c r="G788" s="139"/>
      <c r="H788" s="139"/>
      <c r="I788" s="139"/>
      <c r="J788" s="139"/>
      <c r="N788" s="155"/>
      <c r="S788" s="155"/>
    </row>
    <row r="789" spans="5:19">
      <c r="E789" s="139"/>
      <c r="F789" s="139"/>
      <c r="G789" s="139"/>
      <c r="H789" s="139"/>
      <c r="I789" s="139"/>
      <c r="J789" s="139"/>
      <c r="N789" s="155"/>
      <c r="S789" s="155"/>
    </row>
    <row r="790" spans="5:19">
      <c r="E790" s="139"/>
      <c r="F790" s="139"/>
      <c r="G790" s="139"/>
      <c r="H790" s="139"/>
      <c r="I790" s="139"/>
      <c r="J790" s="139"/>
      <c r="N790" s="155"/>
      <c r="S790" s="155"/>
    </row>
    <row r="791" spans="5:19">
      <c r="E791" s="139"/>
      <c r="F791" s="139"/>
      <c r="G791" s="139"/>
      <c r="H791" s="139"/>
      <c r="I791" s="139"/>
      <c r="J791" s="139"/>
      <c r="N791" s="155"/>
      <c r="S791" s="155"/>
    </row>
    <row r="792" spans="5:19">
      <c r="E792" s="139"/>
      <c r="F792" s="139"/>
      <c r="G792" s="139"/>
      <c r="H792" s="139"/>
      <c r="I792" s="139"/>
      <c r="J792" s="139"/>
      <c r="N792" s="155"/>
      <c r="S792" s="155"/>
    </row>
    <row r="793" spans="5:19">
      <c r="E793" s="139"/>
      <c r="F793" s="139"/>
      <c r="G793" s="139"/>
      <c r="H793" s="139"/>
      <c r="I793" s="139"/>
      <c r="J793" s="139"/>
      <c r="N793" s="155"/>
      <c r="S793" s="155"/>
    </row>
    <row r="794" spans="5:19">
      <c r="E794" s="139"/>
      <c r="F794" s="139"/>
      <c r="G794" s="139"/>
      <c r="H794" s="139"/>
      <c r="I794" s="139"/>
      <c r="J794" s="139"/>
      <c r="N794" s="155"/>
      <c r="S794" s="155"/>
    </row>
    <row r="795" spans="5:19">
      <c r="E795" s="139"/>
      <c r="F795" s="139"/>
      <c r="G795" s="139"/>
      <c r="H795" s="139"/>
      <c r="I795" s="139"/>
      <c r="J795" s="139"/>
      <c r="N795" s="155"/>
      <c r="S795" s="155"/>
    </row>
    <row r="796" spans="5:19">
      <c r="E796" s="139"/>
      <c r="F796" s="139"/>
      <c r="G796" s="139"/>
      <c r="H796" s="139"/>
      <c r="I796" s="139"/>
      <c r="J796" s="139"/>
      <c r="N796" s="155"/>
      <c r="S796" s="155"/>
    </row>
    <row r="797" spans="5:19">
      <c r="E797" s="139"/>
      <c r="F797" s="139"/>
      <c r="G797" s="139"/>
      <c r="H797" s="139"/>
      <c r="I797" s="139"/>
      <c r="J797" s="139"/>
      <c r="N797" s="155"/>
      <c r="S797" s="155"/>
    </row>
    <row r="798" spans="5:19">
      <c r="E798" s="139"/>
      <c r="F798" s="139"/>
      <c r="G798" s="139"/>
      <c r="H798" s="139"/>
      <c r="I798" s="139"/>
      <c r="J798" s="139"/>
      <c r="N798" s="155"/>
      <c r="S798" s="155"/>
    </row>
    <row r="799" spans="5:19">
      <c r="E799" s="139"/>
      <c r="F799" s="139"/>
      <c r="G799" s="139"/>
      <c r="H799" s="139"/>
      <c r="I799" s="139"/>
      <c r="J799" s="139"/>
      <c r="N799" s="155"/>
      <c r="S799" s="155"/>
    </row>
    <row r="800" spans="5:19">
      <c r="E800" s="139"/>
      <c r="F800" s="139"/>
      <c r="G800" s="139"/>
      <c r="H800" s="139"/>
      <c r="I800" s="139"/>
      <c r="J800" s="139"/>
      <c r="N800" s="155"/>
      <c r="S800" s="155"/>
    </row>
    <row r="801" spans="5:19">
      <c r="E801" s="139"/>
      <c r="F801" s="139"/>
      <c r="G801" s="139"/>
      <c r="H801" s="139"/>
      <c r="I801" s="139"/>
      <c r="J801" s="139"/>
      <c r="N801" s="155"/>
      <c r="S801" s="155"/>
    </row>
    <row r="802" spans="5:19">
      <c r="E802" s="139"/>
      <c r="F802" s="139"/>
      <c r="G802" s="139"/>
      <c r="H802" s="139"/>
      <c r="I802" s="139"/>
      <c r="J802" s="139"/>
      <c r="N802" s="155"/>
      <c r="S802" s="155"/>
    </row>
    <row r="803" spans="5:19">
      <c r="E803" s="139"/>
      <c r="F803" s="139"/>
      <c r="G803" s="139"/>
      <c r="H803" s="139"/>
      <c r="I803" s="139"/>
      <c r="J803" s="139"/>
      <c r="N803" s="155"/>
      <c r="S803" s="155"/>
    </row>
    <row r="804" spans="5:19">
      <c r="E804" s="139"/>
      <c r="F804" s="139"/>
      <c r="G804" s="139"/>
      <c r="H804" s="139"/>
      <c r="I804" s="139"/>
      <c r="J804" s="139"/>
      <c r="N804" s="155"/>
      <c r="S804" s="155"/>
    </row>
    <row r="805" spans="5:19">
      <c r="E805" s="139"/>
      <c r="F805" s="139"/>
      <c r="G805" s="139"/>
      <c r="H805" s="139"/>
      <c r="I805" s="139"/>
      <c r="J805" s="139"/>
      <c r="N805" s="155"/>
      <c r="S805" s="155"/>
    </row>
    <row r="806" spans="5:19">
      <c r="E806" s="139"/>
      <c r="F806" s="139"/>
      <c r="G806" s="139"/>
      <c r="H806" s="139"/>
      <c r="I806" s="139"/>
      <c r="J806" s="139"/>
      <c r="N806" s="155"/>
      <c r="S806" s="155"/>
    </row>
    <row r="807" spans="5:19">
      <c r="E807" s="139"/>
      <c r="F807" s="139"/>
      <c r="G807" s="139"/>
      <c r="H807" s="139"/>
      <c r="I807" s="139"/>
      <c r="J807" s="139"/>
      <c r="N807" s="155"/>
      <c r="S807" s="155"/>
    </row>
    <row r="808" spans="5:19">
      <c r="E808" s="139"/>
      <c r="F808" s="139"/>
      <c r="G808" s="139"/>
      <c r="H808" s="139"/>
      <c r="I808" s="139"/>
      <c r="J808" s="139"/>
      <c r="N808" s="155"/>
      <c r="S808" s="155"/>
    </row>
    <row r="809" spans="5:19">
      <c r="E809" s="139"/>
      <c r="F809" s="139"/>
      <c r="G809" s="139"/>
      <c r="H809" s="139"/>
      <c r="I809" s="139"/>
      <c r="J809" s="139"/>
      <c r="N809" s="155"/>
      <c r="S809" s="155"/>
    </row>
    <row r="810" spans="5:19">
      <c r="E810" s="139"/>
      <c r="F810" s="139"/>
      <c r="G810" s="139"/>
      <c r="H810" s="139"/>
      <c r="I810" s="139"/>
      <c r="J810" s="139"/>
      <c r="N810" s="155"/>
      <c r="S810" s="155"/>
    </row>
    <row r="811" spans="5:19">
      <c r="E811" s="139"/>
      <c r="F811" s="139"/>
      <c r="G811" s="139"/>
      <c r="H811" s="139"/>
      <c r="I811" s="139"/>
      <c r="J811" s="139"/>
      <c r="N811" s="155"/>
      <c r="S811" s="155"/>
    </row>
    <row r="812" spans="5:19">
      <c r="E812" s="139"/>
      <c r="F812" s="139"/>
      <c r="G812" s="139"/>
      <c r="H812" s="139"/>
      <c r="I812" s="139"/>
      <c r="J812" s="139"/>
      <c r="N812" s="155"/>
      <c r="S812" s="155"/>
    </row>
    <row r="813" spans="5:19">
      <c r="E813" s="139"/>
      <c r="F813" s="139"/>
      <c r="G813" s="139"/>
      <c r="H813" s="139"/>
      <c r="I813" s="139"/>
      <c r="J813" s="139"/>
      <c r="N813" s="155"/>
      <c r="S813" s="155"/>
    </row>
    <row r="814" spans="5:19">
      <c r="E814" s="139"/>
      <c r="F814" s="139"/>
      <c r="G814" s="139"/>
      <c r="H814" s="139"/>
      <c r="I814" s="139"/>
      <c r="J814" s="139"/>
      <c r="N814" s="155"/>
      <c r="S814" s="155"/>
    </row>
    <row r="815" spans="5:19">
      <c r="E815" s="139"/>
      <c r="F815" s="139"/>
      <c r="G815" s="139"/>
      <c r="H815" s="139"/>
      <c r="I815" s="139"/>
      <c r="J815" s="139"/>
      <c r="N815" s="155"/>
      <c r="S815" s="155"/>
    </row>
    <row r="816" spans="5:19">
      <c r="E816" s="139"/>
      <c r="F816" s="139"/>
      <c r="G816" s="139"/>
      <c r="H816" s="139"/>
      <c r="I816" s="139"/>
      <c r="J816" s="139"/>
      <c r="N816" s="155"/>
      <c r="S816" s="155"/>
    </row>
    <row r="817" spans="5:19">
      <c r="E817" s="139"/>
      <c r="F817" s="139"/>
      <c r="G817" s="139"/>
      <c r="H817" s="139"/>
      <c r="I817" s="139"/>
      <c r="J817" s="139"/>
      <c r="N817" s="155"/>
      <c r="S817" s="155"/>
    </row>
    <row r="818" spans="5:19">
      <c r="E818" s="139"/>
      <c r="F818" s="139"/>
      <c r="G818" s="139"/>
      <c r="H818" s="139"/>
      <c r="I818" s="139"/>
      <c r="J818" s="139"/>
      <c r="N818" s="155"/>
      <c r="S818" s="155"/>
    </row>
    <row r="819" spans="5:19">
      <c r="E819" s="139"/>
      <c r="F819" s="139"/>
      <c r="G819" s="139"/>
      <c r="H819" s="139"/>
      <c r="I819" s="139"/>
      <c r="J819" s="139"/>
      <c r="N819" s="155"/>
      <c r="S819" s="155"/>
    </row>
    <row r="820" spans="5:19">
      <c r="E820" s="139"/>
      <c r="F820" s="139"/>
      <c r="G820" s="139"/>
      <c r="H820" s="139"/>
      <c r="I820" s="139"/>
      <c r="J820" s="139"/>
      <c r="N820" s="155"/>
      <c r="S820" s="155"/>
    </row>
    <row r="821" spans="5:19">
      <c r="E821" s="139"/>
      <c r="F821" s="139"/>
      <c r="G821" s="139"/>
      <c r="H821" s="139"/>
      <c r="I821" s="139"/>
      <c r="J821" s="139"/>
      <c r="N821" s="155"/>
      <c r="S821" s="155"/>
    </row>
    <row r="822" spans="5:19">
      <c r="E822" s="139"/>
      <c r="F822" s="139"/>
      <c r="G822" s="139"/>
      <c r="H822" s="139"/>
      <c r="I822" s="139"/>
      <c r="J822" s="139"/>
      <c r="N822" s="155"/>
      <c r="S822" s="155"/>
    </row>
    <row r="823" spans="5:19">
      <c r="E823" s="139"/>
      <c r="F823" s="139"/>
      <c r="G823" s="139"/>
      <c r="H823" s="139"/>
      <c r="I823" s="139"/>
      <c r="J823" s="139"/>
      <c r="N823" s="155"/>
      <c r="S823" s="155"/>
    </row>
    <row r="824" spans="5:19">
      <c r="E824" s="139"/>
      <c r="F824" s="139"/>
      <c r="G824" s="139"/>
      <c r="H824" s="139"/>
      <c r="I824" s="139"/>
      <c r="J824" s="139"/>
      <c r="N824" s="155"/>
      <c r="S824" s="155"/>
    </row>
    <row r="825" spans="5:19">
      <c r="E825" s="139"/>
      <c r="F825" s="139"/>
      <c r="G825" s="139"/>
      <c r="H825" s="139"/>
      <c r="I825" s="139"/>
      <c r="J825" s="139"/>
      <c r="N825" s="155"/>
      <c r="S825" s="155"/>
    </row>
    <row r="826" spans="5:19">
      <c r="E826" s="139"/>
      <c r="F826" s="139"/>
      <c r="G826" s="139"/>
      <c r="H826" s="139"/>
      <c r="I826" s="139"/>
      <c r="J826" s="139"/>
      <c r="N826" s="155"/>
      <c r="S826" s="155"/>
    </row>
    <row r="827" spans="5:19">
      <c r="E827" s="139"/>
      <c r="F827" s="139"/>
      <c r="G827" s="139"/>
      <c r="H827" s="139"/>
      <c r="I827" s="139"/>
      <c r="J827" s="139"/>
      <c r="N827" s="155"/>
      <c r="S827" s="155"/>
    </row>
    <row r="828" spans="5:19">
      <c r="E828" s="139"/>
      <c r="F828" s="139"/>
      <c r="G828" s="139"/>
      <c r="H828" s="139"/>
      <c r="I828" s="139"/>
      <c r="J828" s="139"/>
      <c r="N828" s="155"/>
      <c r="S828" s="155"/>
    </row>
    <row r="829" spans="5:19">
      <c r="E829" s="139"/>
      <c r="F829" s="139"/>
      <c r="G829" s="139"/>
      <c r="H829" s="139"/>
      <c r="I829" s="139"/>
      <c r="J829" s="139"/>
      <c r="N829" s="155"/>
      <c r="S829" s="155"/>
    </row>
    <row r="830" spans="5:19">
      <c r="E830" s="139"/>
      <c r="F830" s="139"/>
      <c r="G830" s="139"/>
      <c r="H830" s="139"/>
      <c r="I830" s="139"/>
      <c r="J830" s="139"/>
      <c r="N830" s="155"/>
      <c r="S830" s="155"/>
    </row>
    <row r="831" spans="5:19">
      <c r="E831" s="139"/>
      <c r="F831" s="139"/>
      <c r="G831" s="139"/>
      <c r="H831" s="139"/>
      <c r="I831" s="139"/>
      <c r="J831" s="139"/>
      <c r="N831" s="155"/>
      <c r="S831" s="155"/>
    </row>
    <row r="832" spans="5:19">
      <c r="E832" s="139"/>
      <c r="F832" s="139"/>
      <c r="G832" s="139"/>
      <c r="H832" s="139"/>
      <c r="I832" s="139"/>
      <c r="J832" s="139"/>
      <c r="N832" s="155"/>
      <c r="S832" s="155"/>
    </row>
    <row r="833" spans="5:19">
      <c r="E833" s="139"/>
      <c r="F833" s="139"/>
      <c r="G833" s="139"/>
      <c r="H833" s="139"/>
      <c r="I833" s="139"/>
      <c r="J833" s="139"/>
      <c r="N833" s="155"/>
      <c r="S833" s="155"/>
    </row>
    <row r="834" spans="5:19">
      <c r="E834" s="139"/>
      <c r="F834" s="139"/>
      <c r="G834" s="139"/>
      <c r="H834" s="139"/>
      <c r="I834" s="139"/>
      <c r="J834" s="139"/>
      <c r="N834" s="155"/>
      <c r="S834" s="155"/>
    </row>
    <row r="835" spans="5:19">
      <c r="E835" s="139"/>
      <c r="F835" s="139"/>
      <c r="G835" s="139"/>
      <c r="H835" s="139"/>
      <c r="I835" s="139"/>
      <c r="J835" s="139"/>
      <c r="N835" s="155"/>
      <c r="S835" s="155"/>
    </row>
    <row r="836" spans="5:19">
      <c r="E836" s="139"/>
      <c r="F836" s="139"/>
      <c r="G836" s="139"/>
      <c r="H836" s="139"/>
      <c r="I836" s="139"/>
      <c r="J836" s="139"/>
      <c r="N836" s="155"/>
      <c r="S836" s="155"/>
    </row>
    <row r="837" spans="5:19">
      <c r="E837" s="139"/>
      <c r="F837" s="139"/>
      <c r="G837" s="139"/>
      <c r="H837" s="139"/>
      <c r="I837" s="139"/>
      <c r="J837" s="139"/>
      <c r="N837" s="155"/>
      <c r="S837" s="155"/>
    </row>
    <row r="838" spans="5:19">
      <c r="E838" s="139"/>
      <c r="F838" s="139"/>
      <c r="G838" s="139"/>
      <c r="H838" s="139"/>
      <c r="I838" s="139"/>
      <c r="J838" s="139"/>
      <c r="N838" s="155"/>
      <c r="S838" s="155"/>
    </row>
    <row r="839" spans="5:19">
      <c r="E839" s="139"/>
      <c r="F839" s="139"/>
      <c r="G839" s="139"/>
      <c r="H839" s="139"/>
      <c r="I839" s="139"/>
      <c r="J839" s="139"/>
      <c r="N839" s="155"/>
      <c r="S839" s="155"/>
    </row>
    <row r="840" spans="5:19">
      <c r="E840" s="139"/>
      <c r="F840" s="139"/>
      <c r="G840" s="139"/>
      <c r="H840" s="139"/>
      <c r="I840" s="139"/>
      <c r="J840" s="139"/>
      <c r="N840" s="155"/>
      <c r="S840" s="155"/>
    </row>
    <row r="841" spans="5:19">
      <c r="E841" s="139"/>
      <c r="F841" s="139"/>
      <c r="G841" s="139"/>
      <c r="H841" s="139"/>
      <c r="I841" s="139"/>
      <c r="J841" s="139"/>
      <c r="N841" s="155"/>
      <c r="S841" s="155"/>
    </row>
    <row r="842" spans="5:19">
      <c r="E842" s="139"/>
      <c r="F842" s="139"/>
      <c r="G842" s="139"/>
      <c r="H842" s="139"/>
      <c r="I842" s="139"/>
      <c r="J842" s="139"/>
      <c r="N842" s="155"/>
      <c r="S842" s="155"/>
    </row>
    <row r="843" spans="5:19">
      <c r="E843" s="139"/>
      <c r="F843" s="139"/>
      <c r="G843" s="139"/>
      <c r="H843" s="139"/>
      <c r="I843" s="139"/>
      <c r="J843" s="139"/>
      <c r="N843" s="155"/>
      <c r="S843" s="155"/>
    </row>
    <row r="844" spans="5:19">
      <c r="E844" s="139"/>
      <c r="F844" s="139"/>
      <c r="G844" s="139"/>
      <c r="H844" s="139"/>
      <c r="I844" s="139"/>
      <c r="J844" s="139"/>
      <c r="N844" s="155"/>
      <c r="S844" s="155"/>
    </row>
    <row r="845" spans="5:19">
      <c r="E845" s="139"/>
      <c r="F845" s="139"/>
      <c r="G845" s="139"/>
      <c r="H845" s="139"/>
      <c r="I845" s="139"/>
      <c r="J845" s="139"/>
      <c r="N845" s="155"/>
      <c r="S845" s="155"/>
    </row>
    <row r="846" spans="5:19">
      <c r="E846" s="139"/>
      <c r="F846" s="139"/>
      <c r="G846" s="139"/>
      <c r="H846" s="139"/>
      <c r="I846" s="139"/>
      <c r="J846" s="139"/>
      <c r="N846" s="155"/>
      <c r="S846" s="155"/>
    </row>
    <row r="847" spans="5:19">
      <c r="E847" s="139"/>
      <c r="F847" s="139"/>
      <c r="G847" s="139"/>
      <c r="H847" s="139"/>
      <c r="I847" s="139"/>
      <c r="J847" s="139"/>
      <c r="N847" s="155"/>
      <c r="S847" s="155"/>
    </row>
    <row r="848" spans="5:19">
      <c r="E848" s="139"/>
      <c r="F848" s="139"/>
      <c r="G848" s="139"/>
      <c r="H848" s="139"/>
      <c r="I848" s="139"/>
      <c r="J848" s="139"/>
      <c r="N848" s="155"/>
      <c r="S848" s="155"/>
    </row>
    <row r="849" spans="5:19">
      <c r="E849" s="139"/>
      <c r="F849" s="139"/>
      <c r="G849" s="139"/>
      <c r="H849" s="139"/>
      <c r="I849" s="139"/>
      <c r="J849" s="139"/>
      <c r="N849" s="155"/>
      <c r="S849" s="155"/>
    </row>
    <row r="850" spans="5:19">
      <c r="E850" s="139"/>
      <c r="F850" s="139"/>
      <c r="G850" s="139"/>
      <c r="H850" s="139"/>
      <c r="I850" s="139"/>
      <c r="J850" s="139"/>
      <c r="N850" s="155"/>
      <c r="S850" s="155"/>
    </row>
    <row r="851" spans="5:19">
      <c r="E851" s="139"/>
      <c r="F851" s="139"/>
      <c r="G851" s="139"/>
      <c r="H851" s="139"/>
      <c r="I851" s="139"/>
      <c r="J851" s="139"/>
      <c r="N851" s="155"/>
      <c r="S851" s="155"/>
    </row>
    <row r="852" spans="5:19">
      <c r="E852" s="139"/>
      <c r="F852" s="139"/>
      <c r="G852" s="139"/>
      <c r="H852" s="139"/>
      <c r="I852" s="139"/>
      <c r="J852" s="139"/>
      <c r="N852" s="155"/>
      <c r="S852" s="155"/>
    </row>
    <row r="853" spans="5:19">
      <c r="E853" s="139"/>
      <c r="F853" s="139"/>
      <c r="G853" s="139"/>
      <c r="H853" s="139"/>
      <c r="I853" s="139"/>
      <c r="J853" s="139"/>
      <c r="N853" s="155"/>
      <c r="S853" s="155"/>
    </row>
    <row r="854" spans="5:19">
      <c r="E854" s="139"/>
      <c r="F854" s="139"/>
      <c r="G854" s="139"/>
      <c r="H854" s="139"/>
      <c r="I854" s="139"/>
      <c r="J854" s="139"/>
      <c r="N854" s="155"/>
      <c r="S854" s="155"/>
    </row>
    <row r="855" spans="5:19">
      <c r="E855" s="139"/>
      <c r="F855" s="139"/>
      <c r="G855" s="139"/>
      <c r="H855" s="139"/>
      <c r="I855" s="139"/>
      <c r="J855" s="139"/>
      <c r="N855" s="155"/>
      <c r="S855" s="155"/>
    </row>
    <row r="856" spans="5:19">
      <c r="E856" s="139"/>
      <c r="F856" s="139"/>
      <c r="G856" s="139"/>
      <c r="H856" s="139"/>
      <c r="I856" s="139"/>
      <c r="J856" s="139"/>
      <c r="N856" s="155"/>
      <c r="S856" s="155"/>
    </row>
    <row r="857" spans="5:19">
      <c r="E857" s="139"/>
      <c r="F857" s="139"/>
      <c r="G857" s="139"/>
      <c r="H857" s="139"/>
      <c r="I857" s="139"/>
      <c r="J857" s="139"/>
      <c r="N857" s="155"/>
      <c r="S857" s="155"/>
    </row>
    <row r="858" spans="5:19">
      <c r="E858" s="139"/>
      <c r="F858" s="139"/>
      <c r="G858" s="139"/>
      <c r="H858" s="139"/>
      <c r="I858" s="139"/>
      <c r="J858" s="139"/>
      <c r="N858" s="155"/>
      <c r="S858" s="155"/>
    </row>
    <row r="859" spans="5:19">
      <c r="E859" s="139"/>
      <c r="F859" s="139"/>
      <c r="G859" s="139"/>
      <c r="H859" s="139"/>
      <c r="I859" s="139"/>
      <c r="J859" s="139"/>
      <c r="N859" s="155"/>
      <c r="S859" s="155"/>
    </row>
    <row r="860" spans="5:19">
      <c r="E860" s="139"/>
      <c r="F860" s="139"/>
      <c r="G860" s="139"/>
      <c r="H860" s="139"/>
      <c r="I860" s="139"/>
      <c r="J860" s="139"/>
      <c r="N860" s="155"/>
      <c r="S860" s="155"/>
    </row>
    <row r="861" spans="5:19">
      <c r="E861" s="139"/>
      <c r="F861" s="139"/>
      <c r="G861" s="139"/>
      <c r="H861" s="139"/>
      <c r="I861" s="139"/>
      <c r="J861" s="139"/>
      <c r="N861" s="155"/>
      <c r="S861" s="155"/>
    </row>
    <row r="862" spans="5:19">
      <c r="E862" s="139"/>
      <c r="F862" s="139"/>
      <c r="G862" s="139"/>
      <c r="H862" s="139"/>
      <c r="I862" s="139"/>
      <c r="J862" s="139"/>
      <c r="N862" s="155"/>
      <c r="S862" s="155"/>
    </row>
    <row r="863" spans="5:19">
      <c r="E863" s="139"/>
      <c r="F863" s="139"/>
      <c r="G863" s="139"/>
      <c r="H863" s="139"/>
      <c r="I863" s="139"/>
      <c r="J863" s="139"/>
      <c r="N863" s="155"/>
      <c r="S863" s="155"/>
    </row>
    <row r="864" spans="5:19">
      <c r="E864" s="139"/>
      <c r="F864" s="139"/>
      <c r="G864" s="139"/>
      <c r="H864" s="139"/>
      <c r="I864" s="139"/>
      <c r="J864" s="139"/>
      <c r="N864" s="155"/>
      <c r="S864" s="155"/>
    </row>
    <row r="865" spans="5:19">
      <c r="E865" s="139"/>
      <c r="F865" s="139"/>
      <c r="G865" s="139"/>
      <c r="H865" s="139"/>
      <c r="I865" s="139"/>
      <c r="J865" s="139"/>
      <c r="N865" s="155"/>
      <c r="S865" s="155"/>
    </row>
    <row r="866" spans="5:19">
      <c r="E866" s="139"/>
      <c r="F866" s="139"/>
      <c r="G866" s="139"/>
      <c r="H866" s="139"/>
      <c r="I866" s="139"/>
      <c r="J866" s="139"/>
      <c r="N866" s="155"/>
      <c r="S866" s="155"/>
    </row>
    <row r="867" spans="5:19">
      <c r="E867" s="139"/>
      <c r="F867" s="139"/>
      <c r="G867" s="139"/>
      <c r="H867" s="139"/>
      <c r="I867" s="139"/>
      <c r="J867" s="139"/>
      <c r="N867" s="155"/>
      <c r="S867" s="155"/>
    </row>
    <row r="868" spans="5:19">
      <c r="E868" s="139"/>
      <c r="F868" s="139"/>
      <c r="G868" s="139"/>
      <c r="H868" s="139"/>
      <c r="I868" s="139"/>
      <c r="J868" s="139"/>
      <c r="N868" s="155"/>
      <c r="S868" s="155"/>
    </row>
    <row r="869" spans="5:19">
      <c r="E869" s="139"/>
      <c r="F869" s="139"/>
      <c r="G869" s="139"/>
      <c r="H869" s="139"/>
      <c r="I869" s="139"/>
      <c r="J869" s="139"/>
      <c r="N869" s="155"/>
      <c r="S869" s="155"/>
    </row>
    <row r="870" spans="5:19">
      <c r="E870" s="139"/>
      <c r="F870" s="139"/>
      <c r="G870" s="139"/>
      <c r="H870" s="139"/>
      <c r="I870" s="139"/>
      <c r="J870" s="139"/>
      <c r="N870" s="155"/>
      <c r="S870" s="155"/>
    </row>
    <row r="871" spans="5:19">
      <c r="E871" s="139"/>
      <c r="F871" s="139"/>
      <c r="G871" s="139"/>
      <c r="H871" s="139"/>
      <c r="I871" s="139"/>
      <c r="J871" s="139"/>
      <c r="N871" s="155"/>
      <c r="S871" s="155"/>
    </row>
    <row r="872" spans="5:19">
      <c r="E872" s="139"/>
      <c r="F872" s="139"/>
      <c r="G872" s="139"/>
      <c r="H872" s="139"/>
      <c r="I872" s="139"/>
      <c r="J872" s="139"/>
      <c r="N872" s="155"/>
      <c r="S872" s="155"/>
    </row>
    <row r="873" spans="5:19">
      <c r="E873" s="139"/>
      <c r="F873" s="139"/>
      <c r="G873" s="139"/>
      <c r="H873" s="139"/>
      <c r="I873" s="139"/>
      <c r="J873" s="139"/>
      <c r="N873" s="155"/>
      <c r="S873" s="155"/>
    </row>
    <row r="874" spans="5:19">
      <c r="E874" s="139"/>
      <c r="F874" s="139"/>
      <c r="G874" s="139"/>
      <c r="H874" s="139"/>
      <c r="I874" s="139"/>
      <c r="J874" s="139"/>
      <c r="N874" s="155"/>
      <c r="S874" s="155"/>
    </row>
    <row r="875" spans="5:19">
      <c r="E875" s="139"/>
      <c r="F875" s="139"/>
      <c r="G875" s="139"/>
      <c r="H875" s="139"/>
      <c r="I875" s="139"/>
      <c r="J875" s="139"/>
      <c r="N875" s="155"/>
      <c r="S875" s="155"/>
    </row>
    <row r="876" spans="5:19">
      <c r="E876" s="139"/>
      <c r="F876" s="139"/>
      <c r="G876" s="139"/>
      <c r="H876" s="139"/>
      <c r="I876" s="139"/>
      <c r="J876" s="139"/>
      <c r="N876" s="155"/>
      <c r="S876" s="155"/>
    </row>
    <row r="877" spans="5:19">
      <c r="E877" s="139"/>
      <c r="F877" s="139"/>
      <c r="G877" s="139"/>
      <c r="H877" s="139"/>
      <c r="I877" s="139"/>
      <c r="J877" s="139"/>
      <c r="N877" s="155"/>
      <c r="S877" s="155"/>
    </row>
    <row r="878" spans="5:19">
      <c r="E878" s="139"/>
      <c r="F878" s="139"/>
      <c r="G878" s="139"/>
      <c r="H878" s="139"/>
      <c r="I878" s="139"/>
      <c r="J878" s="139"/>
      <c r="N878" s="155"/>
      <c r="S878" s="155"/>
    </row>
    <row r="879" spans="5:19">
      <c r="E879" s="139"/>
      <c r="F879" s="139"/>
      <c r="G879" s="139"/>
      <c r="H879" s="139"/>
      <c r="I879" s="139"/>
      <c r="J879" s="139"/>
      <c r="N879" s="155"/>
      <c r="S879" s="155"/>
    </row>
    <row r="880" spans="5:19">
      <c r="E880" s="139"/>
      <c r="F880" s="139"/>
      <c r="G880" s="139"/>
      <c r="H880" s="139"/>
      <c r="I880" s="139"/>
      <c r="J880" s="139"/>
      <c r="N880" s="155"/>
      <c r="S880" s="155"/>
    </row>
    <row r="881" spans="5:19">
      <c r="E881" s="139"/>
      <c r="F881" s="139"/>
      <c r="G881" s="139"/>
      <c r="H881" s="139"/>
      <c r="I881" s="139"/>
      <c r="J881" s="139"/>
      <c r="N881" s="155"/>
      <c r="S881" s="155"/>
    </row>
    <row r="882" spans="5:19">
      <c r="E882" s="139"/>
      <c r="F882" s="139"/>
      <c r="G882" s="139"/>
      <c r="H882" s="139"/>
      <c r="I882" s="139"/>
      <c r="J882" s="139"/>
      <c r="N882" s="155"/>
      <c r="S882" s="155"/>
    </row>
    <row r="883" spans="5:19">
      <c r="E883" s="139"/>
      <c r="F883" s="139"/>
      <c r="G883" s="139"/>
      <c r="H883" s="139"/>
      <c r="I883" s="139"/>
      <c r="J883" s="139"/>
      <c r="N883" s="155"/>
      <c r="S883" s="155"/>
    </row>
    <row r="884" spans="5:19">
      <c r="E884" s="139"/>
      <c r="F884" s="139"/>
      <c r="G884" s="139"/>
      <c r="H884" s="139"/>
      <c r="I884" s="139"/>
      <c r="J884" s="139"/>
      <c r="N884" s="155"/>
      <c r="S884" s="155"/>
    </row>
    <row r="885" spans="5:19">
      <c r="E885" s="139"/>
      <c r="F885" s="139"/>
      <c r="G885" s="139"/>
      <c r="H885" s="139"/>
      <c r="I885" s="139"/>
      <c r="J885" s="139"/>
      <c r="N885" s="155"/>
      <c r="S885" s="155"/>
    </row>
    <row r="886" spans="5:19">
      <c r="E886" s="139"/>
      <c r="F886" s="139"/>
      <c r="G886" s="139"/>
      <c r="H886" s="139"/>
      <c r="I886" s="139"/>
      <c r="J886" s="139"/>
      <c r="N886" s="155"/>
      <c r="S886" s="155"/>
    </row>
    <row r="887" spans="5:19">
      <c r="E887" s="139"/>
      <c r="F887" s="139"/>
      <c r="G887" s="139"/>
      <c r="H887" s="139"/>
      <c r="I887" s="139"/>
      <c r="J887" s="139"/>
      <c r="N887" s="155"/>
      <c r="S887" s="155"/>
    </row>
    <row r="888" spans="5:19">
      <c r="E888" s="139"/>
      <c r="F888" s="139"/>
      <c r="G888" s="139"/>
      <c r="H888" s="139"/>
      <c r="I888" s="139"/>
      <c r="J888" s="139"/>
      <c r="N888" s="155"/>
      <c r="S888" s="155"/>
    </row>
    <row r="889" spans="5:19">
      <c r="E889" s="139"/>
      <c r="F889" s="139"/>
      <c r="G889" s="139"/>
      <c r="H889" s="139"/>
      <c r="I889" s="139"/>
      <c r="J889" s="139"/>
      <c r="N889" s="155"/>
      <c r="S889" s="155"/>
    </row>
    <row r="890" spans="5:19">
      <c r="E890" s="139"/>
      <c r="F890" s="139"/>
      <c r="G890" s="139"/>
      <c r="H890" s="139"/>
      <c r="I890" s="139"/>
      <c r="J890" s="139"/>
      <c r="N890" s="155"/>
      <c r="S890" s="155"/>
    </row>
    <row r="891" spans="5:19">
      <c r="E891" s="139"/>
      <c r="F891" s="139"/>
      <c r="G891" s="139"/>
      <c r="H891" s="139"/>
      <c r="I891" s="139"/>
      <c r="J891" s="139"/>
      <c r="N891" s="155"/>
      <c r="S891" s="155"/>
    </row>
    <row r="892" spans="5:19">
      <c r="E892" s="139"/>
      <c r="F892" s="139"/>
      <c r="G892" s="139"/>
      <c r="H892" s="139"/>
      <c r="I892" s="139"/>
      <c r="J892" s="139"/>
      <c r="N892" s="155"/>
      <c r="S892" s="155"/>
    </row>
    <row r="893" spans="5:19">
      <c r="E893" s="139"/>
      <c r="F893" s="139"/>
      <c r="G893" s="139"/>
      <c r="H893" s="139"/>
      <c r="I893" s="139"/>
      <c r="J893" s="139"/>
      <c r="N893" s="155"/>
      <c r="S893" s="155"/>
    </row>
    <row r="894" spans="5:19">
      <c r="E894" s="139"/>
      <c r="F894" s="139"/>
      <c r="G894" s="139"/>
      <c r="H894" s="139"/>
      <c r="I894" s="139"/>
      <c r="J894" s="139"/>
      <c r="N894" s="155"/>
      <c r="S894" s="155"/>
    </row>
    <row r="895" spans="5:19">
      <c r="E895" s="139"/>
      <c r="F895" s="139"/>
      <c r="G895" s="139"/>
      <c r="H895" s="139"/>
      <c r="I895" s="139"/>
      <c r="J895" s="139"/>
      <c r="N895" s="155"/>
      <c r="S895" s="155"/>
    </row>
    <row r="896" spans="5:19">
      <c r="E896" s="139"/>
      <c r="F896" s="139"/>
      <c r="G896" s="139"/>
      <c r="H896" s="139"/>
      <c r="I896" s="139"/>
      <c r="J896" s="139"/>
      <c r="N896" s="155"/>
      <c r="S896" s="155"/>
    </row>
    <row r="897" spans="5:19">
      <c r="E897" s="139"/>
      <c r="F897" s="139"/>
      <c r="G897" s="139"/>
      <c r="H897" s="139"/>
      <c r="I897" s="139"/>
      <c r="J897" s="139"/>
      <c r="N897" s="155"/>
      <c r="S897" s="155"/>
    </row>
    <row r="898" spans="5:19">
      <c r="E898" s="139"/>
      <c r="F898" s="139"/>
      <c r="G898" s="139"/>
      <c r="H898" s="139"/>
      <c r="I898" s="139"/>
      <c r="J898" s="139"/>
      <c r="N898" s="155"/>
      <c r="S898" s="155"/>
    </row>
    <row r="899" spans="5:19">
      <c r="E899" s="139"/>
      <c r="F899" s="139"/>
      <c r="G899" s="139"/>
      <c r="H899" s="139"/>
      <c r="I899" s="139"/>
      <c r="J899" s="139"/>
      <c r="N899" s="155"/>
      <c r="S899" s="155"/>
    </row>
    <row r="900" spans="5:19">
      <c r="E900" s="139"/>
      <c r="F900" s="139"/>
      <c r="G900" s="139"/>
      <c r="H900" s="139"/>
      <c r="I900" s="139"/>
      <c r="J900" s="139"/>
      <c r="N900" s="155"/>
      <c r="S900" s="155"/>
    </row>
    <row r="901" spans="5:19">
      <c r="E901" s="139"/>
      <c r="F901" s="139"/>
      <c r="G901" s="139"/>
      <c r="H901" s="139"/>
      <c r="I901" s="139"/>
      <c r="J901" s="139"/>
      <c r="N901" s="155"/>
      <c r="S901" s="155"/>
    </row>
    <row r="902" spans="5:19">
      <c r="E902" s="139"/>
      <c r="F902" s="139"/>
      <c r="G902" s="139"/>
      <c r="H902" s="139"/>
      <c r="I902" s="139"/>
      <c r="J902" s="139"/>
      <c r="N902" s="155"/>
      <c r="S902" s="155"/>
    </row>
    <row r="903" spans="5:19">
      <c r="E903" s="139"/>
      <c r="F903" s="139"/>
      <c r="G903" s="139"/>
      <c r="H903" s="139"/>
      <c r="I903" s="139"/>
      <c r="J903" s="139"/>
      <c r="N903" s="155"/>
      <c r="S903" s="155"/>
    </row>
    <row r="904" spans="5:19">
      <c r="E904" s="139"/>
      <c r="F904" s="139"/>
      <c r="G904" s="139"/>
      <c r="H904" s="139"/>
      <c r="I904" s="139"/>
      <c r="J904" s="139"/>
      <c r="N904" s="155"/>
      <c r="S904" s="155"/>
    </row>
    <row r="905" spans="5:19">
      <c r="E905" s="139"/>
      <c r="F905" s="139"/>
      <c r="G905" s="139"/>
      <c r="H905" s="139"/>
      <c r="I905" s="139"/>
      <c r="J905" s="139"/>
      <c r="N905" s="155"/>
      <c r="S905" s="155"/>
    </row>
    <row r="906" spans="5:19">
      <c r="E906" s="139"/>
      <c r="F906" s="139"/>
      <c r="G906" s="139"/>
      <c r="H906" s="139"/>
      <c r="I906" s="139"/>
      <c r="J906" s="139"/>
      <c r="N906" s="155"/>
      <c r="S906" s="155"/>
    </row>
    <row r="907" spans="5:19">
      <c r="E907" s="139"/>
      <c r="F907" s="139"/>
      <c r="G907" s="139"/>
      <c r="H907" s="139"/>
      <c r="I907" s="139"/>
      <c r="J907" s="139"/>
      <c r="N907" s="155"/>
      <c r="S907" s="155"/>
    </row>
    <row r="908" spans="5:19">
      <c r="E908" s="139"/>
      <c r="F908" s="139"/>
      <c r="G908" s="139"/>
      <c r="H908" s="139"/>
      <c r="I908" s="139"/>
      <c r="J908" s="139"/>
      <c r="N908" s="155"/>
      <c r="S908" s="155"/>
    </row>
    <row r="909" spans="5:19">
      <c r="E909" s="139"/>
      <c r="F909" s="139"/>
      <c r="G909" s="139"/>
      <c r="H909" s="139"/>
      <c r="I909" s="139"/>
      <c r="J909" s="139"/>
      <c r="N909" s="155"/>
      <c r="S909" s="155"/>
    </row>
    <row r="910" spans="5:19">
      <c r="E910" s="139"/>
      <c r="F910" s="139"/>
      <c r="G910" s="139"/>
      <c r="H910" s="139"/>
      <c r="I910" s="139"/>
      <c r="J910" s="139"/>
      <c r="N910" s="155"/>
      <c r="S910" s="155"/>
    </row>
    <row r="911" spans="5:19">
      <c r="E911" s="139"/>
      <c r="F911" s="139"/>
      <c r="G911" s="139"/>
      <c r="H911" s="139"/>
      <c r="I911" s="139"/>
      <c r="J911" s="139"/>
      <c r="N911" s="155"/>
      <c r="S911" s="155"/>
    </row>
    <row r="912" spans="5:19">
      <c r="E912" s="139"/>
      <c r="F912" s="139"/>
      <c r="G912" s="139"/>
      <c r="H912" s="139"/>
      <c r="I912" s="139"/>
      <c r="J912" s="139"/>
      <c r="N912" s="155"/>
      <c r="S912" s="155"/>
    </row>
    <row r="913" spans="5:19">
      <c r="E913" s="139"/>
      <c r="F913" s="139"/>
      <c r="G913" s="139"/>
      <c r="H913" s="139"/>
      <c r="I913" s="139"/>
      <c r="J913" s="139"/>
      <c r="N913" s="155"/>
      <c r="S913" s="155"/>
    </row>
    <row r="914" spans="5:19">
      <c r="E914" s="139"/>
      <c r="F914" s="139"/>
      <c r="G914" s="139"/>
      <c r="H914" s="139"/>
      <c r="I914" s="139"/>
      <c r="J914" s="139"/>
      <c r="N914" s="155"/>
      <c r="S914" s="155"/>
    </row>
    <row r="915" spans="5:19">
      <c r="E915" s="139"/>
      <c r="F915" s="139"/>
      <c r="G915" s="139"/>
      <c r="H915" s="139"/>
      <c r="I915" s="139"/>
      <c r="J915" s="139"/>
      <c r="N915" s="155"/>
      <c r="S915" s="155"/>
    </row>
    <row r="916" spans="5:19">
      <c r="E916" s="139"/>
      <c r="F916" s="139"/>
      <c r="G916" s="139"/>
      <c r="H916" s="139"/>
      <c r="I916" s="139"/>
      <c r="J916" s="139"/>
      <c r="N916" s="155"/>
      <c r="S916" s="155"/>
    </row>
    <row r="917" spans="5:19">
      <c r="E917" s="139"/>
      <c r="F917" s="139"/>
      <c r="G917" s="139"/>
      <c r="H917" s="139"/>
      <c r="I917" s="139"/>
      <c r="J917" s="139"/>
      <c r="N917" s="155"/>
      <c r="S917" s="155"/>
    </row>
    <row r="918" spans="5:19">
      <c r="E918" s="139"/>
      <c r="F918" s="139"/>
      <c r="G918" s="139"/>
      <c r="H918" s="139"/>
      <c r="I918" s="139"/>
      <c r="J918" s="139"/>
      <c r="N918" s="155"/>
      <c r="S918" s="155"/>
    </row>
    <row r="919" spans="5:19">
      <c r="E919" s="139"/>
      <c r="F919" s="139"/>
      <c r="G919" s="139"/>
      <c r="H919" s="139"/>
      <c r="I919" s="139"/>
      <c r="J919" s="139"/>
      <c r="N919" s="155"/>
      <c r="S919" s="155"/>
    </row>
    <row r="920" spans="5:19">
      <c r="E920" s="139"/>
      <c r="F920" s="139"/>
      <c r="G920" s="139"/>
      <c r="H920" s="139"/>
      <c r="I920" s="139"/>
      <c r="J920" s="139"/>
      <c r="N920" s="155"/>
      <c r="S920" s="155"/>
    </row>
    <row r="921" spans="5:19">
      <c r="E921" s="139"/>
      <c r="F921" s="139"/>
      <c r="G921" s="139"/>
      <c r="H921" s="139"/>
      <c r="I921" s="139"/>
      <c r="J921" s="139"/>
      <c r="N921" s="155"/>
      <c r="S921" s="155"/>
    </row>
    <row r="922" spans="5:19">
      <c r="E922" s="139"/>
      <c r="F922" s="139"/>
      <c r="G922" s="139"/>
      <c r="H922" s="139"/>
      <c r="I922" s="139"/>
      <c r="J922" s="139"/>
      <c r="N922" s="155"/>
      <c r="S922" s="155"/>
    </row>
    <row r="923" spans="5:19">
      <c r="E923" s="139"/>
      <c r="F923" s="139"/>
      <c r="G923" s="139"/>
      <c r="H923" s="139"/>
      <c r="I923" s="139"/>
      <c r="J923" s="139"/>
      <c r="N923" s="155"/>
      <c r="S923" s="155"/>
    </row>
    <row r="924" spans="5:19">
      <c r="E924" s="139"/>
      <c r="F924" s="139"/>
      <c r="G924" s="139"/>
      <c r="H924" s="139"/>
      <c r="I924" s="139"/>
      <c r="J924" s="139"/>
      <c r="N924" s="155"/>
      <c r="S924" s="155"/>
    </row>
    <row r="925" spans="5:19">
      <c r="E925" s="139"/>
      <c r="F925" s="139"/>
      <c r="G925" s="139"/>
      <c r="H925" s="139"/>
      <c r="I925" s="139"/>
      <c r="J925" s="139"/>
      <c r="N925" s="155"/>
      <c r="S925" s="155"/>
    </row>
    <row r="926" spans="5:19">
      <c r="E926" s="139"/>
      <c r="F926" s="139"/>
      <c r="G926" s="139"/>
      <c r="H926" s="139"/>
      <c r="I926" s="139"/>
      <c r="J926" s="139"/>
      <c r="N926" s="155"/>
      <c r="S926" s="155"/>
    </row>
    <row r="927" spans="5:19">
      <c r="E927" s="139"/>
      <c r="F927" s="139"/>
      <c r="G927" s="139"/>
      <c r="H927" s="139"/>
      <c r="I927" s="139"/>
      <c r="J927" s="139"/>
      <c r="N927" s="155"/>
      <c r="S927" s="155"/>
    </row>
    <row r="928" spans="5:19">
      <c r="E928" s="139"/>
      <c r="F928" s="139"/>
      <c r="G928" s="139"/>
      <c r="H928" s="139"/>
      <c r="I928" s="139"/>
      <c r="J928" s="139"/>
      <c r="N928" s="155"/>
      <c r="S928" s="155"/>
    </row>
    <row r="929" spans="5:19">
      <c r="E929" s="139"/>
      <c r="F929" s="139"/>
      <c r="G929" s="139"/>
      <c r="H929" s="139"/>
      <c r="I929" s="139"/>
      <c r="J929" s="139"/>
      <c r="N929" s="155"/>
      <c r="S929" s="155"/>
    </row>
    <row r="930" spans="5:19">
      <c r="E930" s="139"/>
      <c r="F930" s="139"/>
      <c r="G930" s="139"/>
      <c r="H930" s="139"/>
      <c r="I930" s="139"/>
      <c r="J930" s="139"/>
      <c r="N930" s="155"/>
      <c r="S930" s="155"/>
    </row>
    <row r="931" spans="5:19">
      <c r="E931" s="139"/>
      <c r="F931" s="139"/>
      <c r="G931" s="139"/>
      <c r="H931" s="139"/>
      <c r="I931" s="139"/>
      <c r="J931" s="139"/>
      <c r="N931" s="155"/>
      <c r="S931" s="155"/>
    </row>
    <row r="932" spans="5:19">
      <c r="E932" s="139"/>
      <c r="F932" s="139"/>
      <c r="G932" s="139"/>
      <c r="H932" s="139"/>
      <c r="I932" s="139"/>
      <c r="J932" s="139"/>
      <c r="N932" s="155"/>
      <c r="S932" s="155"/>
    </row>
    <row r="933" spans="5:19">
      <c r="E933" s="139"/>
      <c r="F933" s="139"/>
      <c r="G933" s="139"/>
      <c r="H933" s="139"/>
      <c r="I933" s="139"/>
      <c r="J933" s="139"/>
      <c r="N933" s="155"/>
      <c r="S933" s="155"/>
    </row>
    <row r="934" spans="5:19">
      <c r="E934" s="139"/>
      <c r="F934" s="139"/>
      <c r="G934" s="139"/>
      <c r="H934" s="139"/>
      <c r="I934" s="139"/>
      <c r="J934" s="139"/>
      <c r="N934" s="155"/>
      <c r="S934" s="155"/>
    </row>
    <row r="935" spans="5:19">
      <c r="E935" s="139"/>
      <c r="F935" s="139"/>
      <c r="G935" s="139"/>
      <c r="H935" s="139"/>
      <c r="I935" s="139"/>
      <c r="J935" s="139"/>
      <c r="N935" s="155"/>
      <c r="S935" s="155"/>
    </row>
    <row r="936" spans="5:19">
      <c r="E936" s="139"/>
      <c r="F936" s="139"/>
      <c r="G936" s="139"/>
      <c r="H936" s="139"/>
      <c r="I936" s="139"/>
      <c r="J936" s="139"/>
      <c r="N936" s="155"/>
      <c r="S936" s="155"/>
    </row>
    <row r="937" spans="5:19">
      <c r="E937" s="139"/>
      <c r="F937" s="139"/>
      <c r="G937" s="139"/>
      <c r="H937" s="139"/>
      <c r="I937" s="139"/>
      <c r="J937" s="139"/>
      <c r="N937" s="155"/>
      <c r="S937" s="155"/>
    </row>
    <row r="938" spans="5:19">
      <c r="E938" s="139"/>
      <c r="F938" s="139"/>
      <c r="G938" s="139"/>
      <c r="H938" s="139"/>
      <c r="I938" s="139"/>
      <c r="J938" s="139"/>
      <c r="N938" s="155"/>
      <c r="S938" s="155"/>
    </row>
    <row r="939" spans="5:19">
      <c r="E939" s="139"/>
      <c r="F939" s="139"/>
      <c r="G939" s="139"/>
      <c r="H939" s="139"/>
      <c r="I939" s="139"/>
      <c r="J939" s="139"/>
      <c r="N939" s="155"/>
      <c r="S939" s="155"/>
    </row>
    <row r="940" spans="5:19">
      <c r="E940" s="139"/>
      <c r="F940" s="139"/>
      <c r="G940" s="139"/>
      <c r="H940" s="139"/>
      <c r="I940" s="139"/>
      <c r="J940" s="139"/>
      <c r="N940" s="155"/>
      <c r="S940" s="155"/>
    </row>
    <row r="941" spans="5:19">
      <c r="E941" s="139"/>
      <c r="F941" s="139"/>
      <c r="G941" s="139"/>
      <c r="H941" s="139"/>
      <c r="I941" s="139"/>
      <c r="J941" s="139"/>
      <c r="N941" s="155"/>
      <c r="S941" s="155"/>
    </row>
    <row r="942" spans="5:19">
      <c r="E942" s="139"/>
      <c r="F942" s="139"/>
      <c r="G942" s="139"/>
      <c r="H942" s="139"/>
      <c r="I942" s="139"/>
      <c r="J942" s="139"/>
      <c r="N942" s="155"/>
      <c r="S942" s="155"/>
    </row>
    <row r="943" spans="5:19">
      <c r="E943" s="139"/>
      <c r="F943" s="139"/>
      <c r="G943" s="139"/>
      <c r="H943" s="139"/>
      <c r="I943" s="139"/>
      <c r="J943" s="139"/>
      <c r="N943" s="155"/>
      <c r="S943" s="155"/>
    </row>
    <row r="944" spans="5:19">
      <c r="E944" s="139"/>
      <c r="F944" s="139"/>
      <c r="G944" s="139"/>
      <c r="H944" s="139"/>
      <c r="I944" s="139"/>
      <c r="J944" s="139"/>
      <c r="N944" s="155"/>
      <c r="S944" s="155"/>
    </row>
    <row r="945" spans="5:19">
      <c r="E945" s="139"/>
      <c r="F945" s="139"/>
      <c r="G945" s="139"/>
      <c r="H945" s="139"/>
      <c r="I945" s="139"/>
      <c r="J945" s="139"/>
      <c r="N945" s="155"/>
      <c r="S945" s="155"/>
    </row>
    <row r="946" spans="5:19">
      <c r="E946" s="139"/>
      <c r="F946" s="139"/>
      <c r="G946" s="139"/>
      <c r="H946" s="139"/>
      <c r="I946" s="139"/>
      <c r="J946" s="139"/>
      <c r="N946" s="155"/>
      <c r="S946" s="155"/>
    </row>
    <row r="947" spans="5:19">
      <c r="E947" s="139"/>
      <c r="F947" s="139"/>
      <c r="G947" s="139"/>
      <c r="H947" s="139"/>
      <c r="I947" s="139"/>
      <c r="J947" s="139"/>
      <c r="N947" s="155"/>
      <c r="S947" s="155"/>
    </row>
    <row r="948" spans="5:19">
      <c r="E948" s="139"/>
      <c r="F948" s="139"/>
      <c r="G948" s="139"/>
      <c r="H948" s="139"/>
      <c r="I948" s="139"/>
      <c r="J948" s="139"/>
      <c r="N948" s="155"/>
      <c r="S948" s="155"/>
    </row>
    <row r="949" spans="5:19">
      <c r="E949" s="139"/>
      <c r="F949" s="139"/>
      <c r="G949" s="139"/>
      <c r="H949" s="139"/>
      <c r="I949" s="139"/>
      <c r="J949" s="139"/>
      <c r="N949" s="155"/>
      <c r="S949" s="155"/>
    </row>
    <row r="950" spans="5:19">
      <c r="E950" s="139"/>
      <c r="F950" s="139"/>
      <c r="G950" s="139"/>
      <c r="H950" s="139"/>
      <c r="I950" s="139"/>
      <c r="J950" s="139"/>
      <c r="N950" s="155"/>
      <c r="S950" s="155"/>
    </row>
    <row r="951" spans="5:19">
      <c r="E951" s="139"/>
      <c r="F951" s="139"/>
      <c r="G951" s="139"/>
      <c r="H951" s="139"/>
      <c r="I951" s="139"/>
      <c r="J951" s="139"/>
      <c r="N951" s="155"/>
      <c r="S951" s="155"/>
    </row>
    <row r="952" spans="5:19">
      <c r="E952" s="139"/>
      <c r="F952" s="139"/>
      <c r="G952" s="139"/>
      <c r="H952" s="139"/>
      <c r="I952" s="139"/>
      <c r="J952" s="139"/>
      <c r="N952" s="155"/>
      <c r="S952" s="155"/>
    </row>
    <row r="953" spans="5:19">
      <c r="E953" s="139"/>
      <c r="F953" s="139"/>
      <c r="G953" s="139"/>
      <c r="H953" s="139"/>
      <c r="I953" s="139"/>
      <c r="J953" s="139"/>
      <c r="N953" s="155"/>
      <c r="S953" s="155"/>
    </row>
    <row r="954" spans="5:19">
      <c r="E954" s="139"/>
      <c r="F954" s="139"/>
      <c r="G954" s="139"/>
      <c r="H954" s="139"/>
      <c r="I954" s="139"/>
      <c r="J954" s="139"/>
      <c r="N954" s="155"/>
      <c r="S954" s="155"/>
    </row>
    <row r="955" spans="5:19">
      <c r="E955" s="139"/>
      <c r="F955" s="139"/>
      <c r="G955" s="139"/>
      <c r="H955" s="139"/>
      <c r="I955" s="139"/>
      <c r="J955" s="139"/>
      <c r="N955" s="155"/>
      <c r="S955" s="155"/>
    </row>
    <row r="956" spans="5:19">
      <c r="E956" s="139"/>
      <c r="F956" s="139"/>
      <c r="G956" s="139"/>
      <c r="H956" s="139"/>
      <c r="I956" s="139"/>
      <c r="J956" s="139"/>
      <c r="N956" s="155"/>
      <c r="S956" s="155"/>
    </row>
    <row r="957" spans="5:19">
      <c r="E957" s="139"/>
      <c r="F957" s="139"/>
      <c r="G957" s="139"/>
      <c r="H957" s="139"/>
      <c r="I957" s="139"/>
      <c r="J957" s="139"/>
      <c r="N957" s="155"/>
      <c r="S957" s="155"/>
    </row>
    <row r="958" spans="5:19">
      <c r="E958" s="139"/>
      <c r="F958" s="139"/>
      <c r="G958" s="139"/>
      <c r="H958" s="139"/>
      <c r="I958" s="139"/>
      <c r="J958" s="139"/>
      <c r="N958" s="155"/>
      <c r="S958" s="155"/>
    </row>
    <row r="959" spans="5:19">
      <c r="E959" s="139"/>
      <c r="F959" s="139"/>
      <c r="G959" s="139"/>
      <c r="H959" s="139"/>
      <c r="I959" s="139"/>
      <c r="J959" s="139"/>
      <c r="N959" s="155"/>
      <c r="S959" s="155"/>
    </row>
    <row r="960" spans="5:19">
      <c r="E960" s="139"/>
      <c r="F960" s="139"/>
      <c r="G960" s="139"/>
      <c r="H960" s="139"/>
      <c r="I960" s="139"/>
      <c r="J960" s="139"/>
      <c r="N960" s="155"/>
      <c r="S960" s="155"/>
    </row>
    <row r="961" spans="5:19">
      <c r="E961" s="139"/>
      <c r="F961" s="139"/>
      <c r="G961" s="139"/>
      <c r="H961" s="139"/>
      <c r="I961" s="139"/>
      <c r="J961" s="139"/>
      <c r="N961" s="155"/>
      <c r="S961" s="155"/>
    </row>
    <row r="962" spans="5:19">
      <c r="E962" s="139"/>
      <c r="F962" s="139"/>
      <c r="G962" s="139"/>
      <c r="H962" s="139"/>
      <c r="I962" s="139"/>
      <c r="J962" s="139"/>
      <c r="N962" s="155"/>
      <c r="S962" s="155"/>
    </row>
    <row r="963" spans="5:19">
      <c r="E963" s="139"/>
      <c r="F963" s="139"/>
      <c r="G963" s="139"/>
      <c r="H963" s="139"/>
      <c r="I963" s="139"/>
      <c r="J963" s="139"/>
      <c r="N963" s="155"/>
      <c r="S963" s="155"/>
    </row>
    <row r="964" spans="5:19">
      <c r="E964" s="139"/>
      <c r="F964" s="139"/>
      <c r="G964" s="139"/>
      <c r="H964" s="139"/>
      <c r="I964" s="139"/>
      <c r="J964" s="139"/>
      <c r="N964" s="155"/>
      <c r="S964" s="155"/>
    </row>
    <row r="965" spans="5:19">
      <c r="E965" s="139"/>
      <c r="F965" s="139"/>
      <c r="G965" s="139"/>
      <c r="H965" s="139"/>
      <c r="I965" s="139"/>
      <c r="J965" s="139"/>
      <c r="N965" s="155"/>
      <c r="S965" s="155"/>
    </row>
    <row r="966" spans="5:19">
      <c r="E966" s="139"/>
      <c r="F966" s="139"/>
      <c r="G966" s="139"/>
      <c r="H966" s="139"/>
      <c r="I966" s="139"/>
      <c r="J966" s="139"/>
      <c r="N966" s="155"/>
      <c r="S966" s="155"/>
    </row>
    <row r="967" spans="5:19">
      <c r="E967" s="139"/>
      <c r="F967" s="139"/>
      <c r="G967" s="139"/>
      <c r="H967" s="139"/>
      <c r="I967" s="139"/>
      <c r="J967" s="139"/>
      <c r="N967" s="155"/>
      <c r="S967" s="155"/>
    </row>
    <row r="968" spans="5:19">
      <c r="E968" s="139"/>
      <c r="F968" s="139"/>
      <c r="G968" s="139"/>
      <c r="H968" s="139"/>
      <c r="I968" s="139"/>
      <c r="J968" s="139"/>
      <c r="N968" s="155"/>
      <c r="S968" s="155"/>
    </row>
    <row r="969" spans="5:19">
      <c r="E969" s="139"/>
      <c r="F969" s="139"/>
      <c r="G969" s="139"/>
      <c r="H969" s="139"/>
      <c r="I969" s="139"/>
      <c r="J969" s="139"/>
      <c r="N969" s="155"/>
      <c r="S969" s="155"/>
    </row>
    <row r="970" spans="5:19">
      <c r="E970" s="139"/>
      <c r="F970" s="139"/>
      <c r="G970" s="139"/>
      <c r="H970" s="139"/>
      <c r="I970" s="139"/>
      <c r="J970" s="139"/>
      <c r="N970" s="155"/>
      <c r="S970" s="155"/>
    </row>
    <row r="971" spans="5:19">
      <c r="E971" s="139"/>
      <c r="F971" s="139"/>
      <c r="G971" s="139"/>
      <c r="H971" s="139"/>
      <c r="I971" s="139"/>
      <c r="J971" s="139"/>
      <c r="N971" s="155"/>
      <c r="S971" s="155"/>
    </row>
    <row r="972" spans="5:19">
      <c r="E972" s="139"/>
      <c r="F972" s="139"/>
      <c r="G972" s="139"/>
      <c r="H972" s="139"/>
      <c r="I972" s="139"/>
      <c r="J972" s="139"/>
      <c r="N972" s="155"/>
      <c r="S972" s="155"/>
    </row>
    <row r="973" spans="5:19">
      <c r="E973" s="139"/>
      <c r="F973" s="139"/>
      <c r="G973" s="139"/>
      <c r="H973" s="139"/>
      <c r="I973" s="139"/>
      <c r="J973" s="139"/>
      <c r="N973" s="155"/>
      <c r="S973" s="155"/>
    </row>
    <row r="974" spans="5:19">
      <c r="E974" s="139"/>
      <c r="F974" s="139"/>
      <c r="G974" s="139"/>
      <c r="H974" s="139"/>
      <c r="I974" s="139"/>
      <c r="J974" s="139"/>
      <c r="N974" s="155"/>
      <c r="S974" s="155"/>
    </row>
    <row r="975" spans="5:19">
      <c r="E975" s="139"/>
      <c r="F975" s="139"/>
      <c r="G975" s="139"/>
      <c r="H975" s="139"/>
      <c r="I975" s="139"/>
      <c r="J975" s="139"/>
      <c r="N975" s="155"/>
      <c r="S975" s="155"/>
    </row>
    <row r="976" spans="5:19">
      <c r="E976" s="139"/>
      <c r="F976" s="139"/>
      <c r="G976" s="139"/>
      <c r="H976" s="139"/>
      <c r="I976" s="139"/>
      <c r="J976" s="139"/>
      <c r="N976" s="155"/>
      <c r="S976" s="155"/>
    </row>
    <row r="977" spans="5:19">
      <c r="E977" s="139"/>
      <c r="F977" s="139"/>
      <c r="G977" s="139"/>
      <c r="H977" s="139"/>
      <c r="I977" s="139"/>
      <c r="J977" s="139"/>
      <c r="N977" s="155"/>
      <c r="S977" s="155"/>
    </row>
    <row r="978" spans="5:19">
      <c r="E978" s="139"/>
      <c r="F978" s="139"/>
      <c r="G978" s="139"/>
      <c r="H978" s="139"/>
      <c r="I978" s="139"/>
      <c r="J978" s="139"/>
      <c r="N978" s="155"/>
      <c r="S978" s="155"/>
    </row>
    <row r="979" spans="5:19">
      <c r="E979" s="139"/>
      <c r="F979" s="139"/>
      <c r="G979" s="139"/>
      <c r="H979" s="139"/>
      <c r="I979" s="139"/>
      <c r="J979" s="139"/>
      <c r="N979" s="155"/>
      <c r="S979" s="155"/>
    </row>
    <row r="980" spans="5:19">
      <c r="E980" s="139"/>
      <c r="F980" s="139"/>
      <c r="G980" s="139"/>
      <c r="H980" s="139"/>
      <c r="I980" s="139"/>
      <c r="J980" s="139"/>
      <c r="N980" s="155"/>
      <c r="S980" s="155"/>
    </row>
    <row r="981" spans="5:19">
      <c r="E981" s="139"/>
      <c r="F981" s="139"/>
      <c r="G981" s="139"/>
      <c r="H981" s="139"/>
      <c r="I981" s="139"/>
      <c r="J981" s="139"/>
      <c r="N981" s="155"/>
      <c r="S981" s="155"/>
    </row>
    <row r="982" spans="5:19">
      <c r="E982" s="139"/>
      <c r="F982" s="139"/>
      <c r="G982" s="139"/>
      <c r="H982" s="139"/>
      <c r="I982" s="139"/>
      <c r="J982" s="139"/>
      <c r="N982" s="155"/>
      <c r="S982" s="155"/>
    </row>
    <row r="983" spans="5:19">
      <c r="E983" s="139"/>
      <c r="F983" s="139"/>
      <c r="G983" s="139"/>
      <c r="H983" s="139"/>
      <c r="I983" s="139"/>
      <c r="J983" s="139"/>
      <c r="N983" s="155"/>
      <c r="S983" s="155"/>
    </row>
    <row r="984" spans="5:19">
      <c r="E984" s="139"/>
      <c r="F984" s="139"/>
      <c r="G984" s="139"/>
      <c r="H984" s="139"/>
      <c r="I984" s="139"/>
      <c r="J984" s="139"/>
      <c r="N984" s="155"/>
      <c r="S984" s="155"/>
    </row>
    <row r="985" spans="5:19">
      <c r="E985" s="139"/>
      <c r="F985" s="139"/>
      <c r="G985" s="139"/>
      <c r="H985" s="139"/>
      <c r="I985" s="139"/>
      <c r="J985" s="139"/>
      <c r="N985" s="155"/>
      <c r="S985" s="155"/>
    </row>
    <row r="986" spans="5:19">
      <c r="E986" s="139"/>
      <c r="F986" s="139"/>
      <c r="G986" s="139"/>
      <c r="H986" s="139"/>
      <c r="I986" s="139"/>
      <c r="J986" s="139"/>
      <c r="N986" s="155"/>
      <c r="S986" s="155"/>
    </row>
    <row r="987" spans="5:19">
      <c r="E987" s="139"/>
      <c r="F987" s="139"/>
      <c r="G987" s="139"/>
      <c r="H987" s="139"/>
      <c r="I987" s="139"/>
      <c r="J987" s="139"/>
      <c r="N987" s="155"/>
      <c r="S987" s="155"/>
    </row>
    <row r="988" spans="5:19">
      <c r="E988" s="139"/>
      <c r="F988" s="139"/>
      <c r="G988" s="139"/>
      <c r="H988" s="139"/>
      <c r="I988" s="139"/>
      <c r="J988" s="139"/>
      <c r="N988" s="155"/>
      <c r="S988" s="155"/>
    </row>
    <row r="989" spans="5:19">
      <c r="E989" s="139"/>
      <c r="F989" s="139"/>
      <c r="G989" s="139"/>
      <c r="H989" s="139"/>
      <c r="I989" s="139"/>
      <c r="J989" s="139"/>
      <c r="N989" s="155"/>
      <c r="S989" s="155"/>
    </row>
    <row r="990" spans="5:19">
      <c r="E990" s="139"/>
      <c r="F990" s="139"/>
      <c r="G990" s="139"/>
      <c r="H990" s="139"/>
      <c r="I990" s="139"/>
      <c r="J990" s="139"/>
      <c r="N990" s="155"/>
      <c r="S990" s="155"/>
    </row>
    <row r="991" spans="5:19">
      <c r="E991" s="139"/>
      <c r="F991" s="139"/>
      <c r="G991" s="139"/>
      <c r="H991" s="139"/>
      <c r="I991" s="139"/>
      <c r="J991" s="139"/>
      <c r="N991" s="155"/>
      <c r="S991" s="155"/>
    </row>
    <row r="992" spans="5:19">
      <c r="E992" s="139"/>
      <c r="F992" s="139"/>
      <c r="G992" s="139"/>
      <c r="H992" s="139"/>
      <c r="I992" s="139"/>
      <c r="J992" s="139"/>
      <c r="N992" s="155"/>
      <c r="S992" s="155"/>
    </row>
    <row r="993" spans="5:19">
      <c r="E993" s="139"/>
      <c r="F993" s="139"/>
      <c r="G993" s="139"/>
      <c r="H993" s="139"/>
      <c r="I993" s="139"/>
      <c r="J993" s="139"/>
      <c r="N993" s="155"/>
      <c r="S993" s="155"/>
    </row>
    <row r="994" spans="5:19">
      <c r="E994" s="139"/>
      <c r="F994" s="139"/>
      <c r="G994" s="139"/>
      <c r="H994" s="139"/>
      <c r="I994" s="139"/>
      <c r="J994" s="139"/>
      <c r="N994" s="155"/>
      <c r="S994" s="155"/>
    </row>
    <row r="995" spans="5:19">
      <c r="E995" s="139"/>
      <c r="F995" s="139"/>
      <c r="G995" s="139"/>
      <c r="H995" s="139"/>
      <c r="I995" s="139"/>
      <c r="J995" s="139"/>
      <c r="N995" s="155"/>
      <c r="S995" s="155"/>
    </row>
    <row r="996" spans="5:19">
      <c r="E996" s="139"/>
      <c r="F996" s="139"/>
      <c r="G996" s="139"/>
      <c r="H996" s="139"/>
      <c r="I996" s="139"/>
      <c r="J996" s="139"/>
      <c r="N996" s="155"/>
      <c r="S996" s="155"/>
    </row>
    <row r="997" spans="5:19">
      <c r="E997" s="139"/>
      <c r="F997" s="139"/>
      <c r="G997" s="139"/>
      <c r="H997" s="139"/>
      <c r="I997" s="139"/>
      <c r="J997" s="139"/>
      <c r="N997" s="155"/>
      <c r="S997" s="155"/>
    </row>
    <row r="998" spans="5:19">
      <c r="E998" s="139"/>
      <c r="F998" s="139"/>
      <c r="G998" s="139"/>
      <c r="H998" s="139"/>
      <c r="I998" s="139"/>
      <c r="J998" s="139"/>
      <c r="N998" s="155"/>
      <c r="S998" s="155"/>
    </row>
    <row r="999" spans="5:19">
      <c r="E999" s="139"/>
      <c r="F999" s="139"/>
      <c r="G999" s="139"/>
      <c r="H999" s="139"/>
      <c r="I999" s="139"/>
      <c r="J999" s="139"/>
      <c r="N999" s="155"/>
      <c r="S999" s="155"/>
    </row>
    <row r="1000" spans="5:19">
      <c r="E1000" s="139"/>
      <c r="F1000" s="139"/>
      <c r="G1000" s="139"/>
      <c r="H1000" s="139"/>
      <c r="I1000" s="139"/>
      <c r="J1000" s="139"/>
      <c r="N1000" s="155"/>
      <c r="S1000" s="155"/>
    </row>
    <row r="1001" spans="5:19">
      <c r="E1001" s="139"/>
      <c r="F1001" s="139"/>
      <c r="G1001" s="139"/>
      <c r="H1001" s="139"/>
      <c r="I1001" s="139"/>
      <c r="J1001" s="139"/>
      <c r="N1001" s="155"/>
      <c r="S1001" s="155"/>
    </row>
    <row r="1002" spans="5:19">
      <c r="E1002" s="139"/>
      <c r="F1002" s="139"/>
      <c r="G1002" s="139"/>
      <c r="H1002" s="139"/>
      <c r="I1002" s="139"/>
      <c r="J1002" s="139"/>
      <c r="N1002" s="155"/>
      <c r="S1002" s="155"/>
    </row>
    <row r="1003" spans="5:19">
      <c r="E1003" s="139"/>
      <c r="F1003" s="139"/>
      <c r="G1003" s="139"/>
      <c r="H1003" s="139"/>
      <c r="I1003" s="139"/>
      <c r="J1003" s="139"/>
      <c r="N1003" s="155"/>
      <c r="S1003" s="155"/>
    </row>
    <row r="1004" spans="5:19">
      <c r="E1004" s="139"/>
      <c r="F1004" s="139"/>
      <c r="G1004" s="139"/>
      <c r="H1004" s="139"/>
      <c r="I1004" s="139"/>
      <c r="J1004" s="139"/>
      <c r="N1004" s="155"/>
      <c r="S1004" s="155"/>
    </row>
    <row r="1005" spans="5:19">
      <c r="E1005" s="139"/>
      <c r="F1005" s="139"/>
      <c r="G1005" s="139"/>
      <c r="H1005" s="139"/>
      <c r="I1005" s="139"/>
      <c r="J1005" s="139"/>
      <c r="N1005" s="155"/>
      <c r="S1005" s="155"/>
    </row>
    <row r="1006" spans="5:19">
      <c r="E1006" s="139"/>
      <c r="F1006" s="139"/>
      <c r="G1006" s="139"/>
      <c r="H1006" s="139"/>
      <c r="I1006" s="139"/>
      <c r="J1006" s="139"/>
      <c r="N1006" s="155"/>
      <c r="S1006" s="155"/>
    </row>
    <row r="1007" spans="5:19">
      <c r="E1007" s="139"/>
      <c r="F1007" s="139"/>
      <c r="G1007" s="139"/>
      <c r="H1007" s="139"/>
      <c r="I1007" s="139"/>
      <c r="J1007" s="139"/>
      <c r="N1007" s="155"/>
      <c r="S1007" s="155"/>
    </row>
    <row r="1008" spans="5:19">
      <c r="E1008" s="139"/>
      <c r="F1008" s="139"/>
      <c r="G1008" s="139"/>
      <c r="H1008" s="139"/>
      <c r="I1008" s="139"/>
      <c r="J1008" s="139"/>
      <c r="N1008" s="155"/>
      <c r="S1008" s="155"/>
    </row>
    <row r="1009" spans="5:19">
      <c r="E1009" s="139"/>
      <c r="F1009" s="139"/>
      <c r="G1009" s="139"/>
      <c r="H1009" s="139"/>
      <c r="I1009" s="139"/>
      <c r="J1009" s="139"/>
      <c r="N1009" s="155"/>
      <c r="S1009" s="155"/>
    </row>
    <row r="1010" spans="5:19">
      <c r="E1010" s="139"/>
      <c r="F1010" s="139"/>
      <c r="G1010" s="139"/>
      <c r="H1010" s="139"/>
      <c r="I1010" s="139"/>
      <c r="J1010" s="139"/>
      <c r="N1010" s="155"/>
      <c r="S1010" s="155"/>
    </row>
    <row r="1011" spans="5:19">
      <c r="E1011" s="139"/>
      <c r="F1011" s="139"/>
      <c r="G1011" s="139"/>
      <c r="H1011" s="139"/>
      <c r="I1011" s="139"/>
      <c r="J1011" s="139"/>
      <c r="N1011" s="155"/>
      <c r="S1011" s="155"/>
    </row>
    <row r="1012" spans="5:19">
      <c r="E1012" s="139"/>
      <c r="F1012" s="139"/>
      <c r="G1012" s="139"/>
      <c r="H1012" s="139"/>
      <c r="I1012" s="139"/>
      <c r="J1012" s="139"/>
      <c r="N1012" s="155"/>
      <c r="S1012" s="155"/>
    </row>
    <row r="1013" spans="5:19">
      <c r="E1013" s="139"/>
      <c r="F1013" s="139"/>
      <c r="G1013" s="139"/>
      <c r="H1013" s="139"/>
      <c r="I1013" s="139"/>
      <c r="J1013" s="139"/>
      <c r="N1013" s="155"/>
      <c r="S1013" s="155"/>
    </row>
    <row r="1014" spans="5:19">
      <c r="E1014" s="139"/>
      <c r="F1014" s="139"/>
      <c r="G1014" s="139"/>
      <c r="H1014" s="139"/>
      <c r="I1014" s="139"/>
      <c r="J1014" s="139"/>
      <c r="N1014" s="155"/>
      <c r="S1014" s="155"/>
    </row>
    <row r="1015" spans="5:19">
      <c r="E1015" s="139"/>
      <c r="F1015" s="139"/>
      <c r="G1015" s="139"/>
      <c r="H1015" s="139"/>
      <c r="I1015" s="139"/>
      <c r="J1015" s="139"/>
      <c r="N1015" s="155"/>
      <c r="S1015" s="155"/>
    </row>
    <row r="1016" spans="5:19">
      <c r="E1016" s="139"/>
      <c r="F1016" s="139"/>
      <c r="G1016" s="139"/>
      <c r="H1016" s="139"/>
      <c r="I1016" s="139"/>
      <c r="J1016" s="139"/>
      <c r="N1016" s="155"/>
      <c r="S1016" s="155"/>
    </row>
    <row r="1017" spans="5:19">
      <c r="E1017" s="139"/>
      <c r="F1017" s="139"/>
      <c r="G1017" s="139"/>
      <c r="H1017" s="139"/>
      <c r="I1017" s="139"/>
      <c r="J1017" s="139"/>
      <c r="N1017" s="155"/>
      <c r="S1017" s="155"/>
    </row>
    <row r="1018" spans="5:19">
      <c r="E1018" s="139"/>
      <c r="F1018" s="139"/>
      <c r="G1018" s="139"/>
      <c r="H1018" s="139"/>
      <c r="I1018" s="139"/>
      <c r="J1018" s="139"/>
      <c r="N1018" s="155"/>
      <c r="S1018" s="155"/>
    </row>
    <row r="1019" spans="5:19">
      <c r="E1019" s="139"/>
      <c r="F1019" s="139"/>
      <c r="G1019" s="139"/>
      <c r="H1019" s="139"/>
      <c r="I1019" s="139"/>
      <c r="J1019" s="139"/>
      <c r="N1019" s="155"/>
      <c r="S1019" s="155"/>
    </row>
    <row r="1020" spans="5:19">
      <c r="E1020" s="139"/>
      <c r="F1020" s="139"/>
      <c r="G1020" s="139"/>
      <c r="H1020" s="139"/>
      <c r="I1020" s="139"/>
      <c r="J1020" s="139"/>
      <c r="N1020" s="155"/>
      <c r="S1020" s="155"/>
    </row>
    <row r="1021" spans="5:19">
      <c r="E1021" s="139"/>
      <c r="F1021" s="139"/>
      <c r="G1021" s="139"/>
      <c r="H1021" s="139"/>
      <c r="I1021" s="139"/>
      <c r="J1021" s="139"/>
      <c r="N1021" s="155"/>
      <c r="S1021" s="155"/>
    </row>
    <row r="1022" spans="5:19">
      <c r="E1022" s="139"/>
      <c r="F1022" s="139"/>
      <c r="G1022" s="139"/>
      <c r="H1022" s="139"/>
      <c r="I1022" s="139"/>
      <c r="J1022" s="139"/>
      <c r="N1022" s="155"/>
      <c r="S1022" s="155"/>
    </row>
    <row r="1023" spans="5:19">
      <c r="E1023" s="139"/>
      <c r="F1023" s="139"/>
      <c r="G1023" s="139"/>
      <c r="H1023" s="139"/>
      <c r="I1023" s="139"/>
      <c r="J1023" s="139"/>
      <c r="N1023" s="155"/>
      <c r="S1023" s="155"/>
    </row>
    <row r="1024" spans="5:19">
      <c r="E1024" s="139"/>
      <c r="F1024" s="139"/>
      <c r="G1024" s="139"/>
      <c r="H1024" s="139"/>
      <c r="I1024" s="139"/>
      <c r="J1024" s="139"/>
      <c r="N1024" s="155"/>
      <c r="S1024" s="155"/>
    </row>
    <row r="1025" spans="5:19">
      <c r="E1025" s="139"/>
      <c r="F1025" s="139"/>
      <c r="G1025" s="139"/>
      <c r="H1025" s="139"/>
      <c r="I1025" s="139"/>
      <c r="J1025" s="139"/>
      <c r="N1025" s="155"/>
      <c r="S1025" s="155"/>
    </row>
    <row r="1026" spans="5:19">
      <c r="E1026" s="139"/>
      <c r="F1026" s="139"/>
      <c r="G1026" s="139"/>
      <c r="H1026" s="139"/>
      <c r="I1026" s="139"/>
      <c r="J1026" s="139"/>
      <c r="N1026" s="155"/>
      <c r="S1026" s="155"/>
    </row>
    <row r="1027" spans="5:19">
      <c r="E1027" s="139"/>
      <c r="F1027" s="139"/>
      <c r="G1027" s="139"/>
      <c r="H1027" s="139"/>
      <c r="I1027" s="139"/>
      <c r="J1027" s="139"/>
      <c r="N1027" s="155"/>
      <c r="S1027" s="155"/>
    </row>
    <row r="1028" spans="5:19">
      <c r="E1028" s="139"/>
      <c r="F1028" s="139"/>
      <c r="G1028" s="139"/>
      <c r="H1028" s="139"/>
      <c r="I1028" s="139"/>
      <c r="J1028" s="139"/>
      <c r="N1028" s="155"/>
      <c r="S1028" s="155"/>
    </row>
    <row r="1029" spans="5:19">
      <c r="E1029" s="139"/>
      <c r="F1029" s="139"/>
      <c r="G1029" s="139"/>
      <c r="H1029" s="139"/>
      <c r="I1029" s="139"/>
      <c r="J1029" s="139"/>
      <c r="N1029" s="155"/>
      <c r="S1029" s="155"/>
    </row>
    <row r="1030" spans="5:19">
      <c r="E1030" s="139"/>
      <c r="F1030" s="139"/>
      <c r="G1030" s="139"/>
      <c r="H1030" s="139"/>
      <c r="I1030" s="139"/>
      <c r="J1030" s="139"/>
      <c r="N1030" s="155"/>
      <c r="S1030" s="155"/>
    </row>
    <row r="1031" spans="5:19">
      <c r="E1031" s="139"/>
      <c r="F1031" s="139"/>
      <c r="G1031" s="139"/>
      <c r="H1031" s="139"/>
      <c r="I1031" s="139"/>
      <c r="J1031" s="139"/>
      <c r="N1031" s="155"/>
      <c r="S1031" s="155"/>
    </row>
    <row r="1032" spans="5:19">
      <c r="E1032" s="139"/>
      <c r="F1032" s="139"/>
      <c r="G1032" s="139"/>
      <c r="H1032" s="139"/>
      <c r="I1032" s="139"/>
      <c r="J1032" s="139"/>
      <c r="N1032" s="155"/>
      <c r="S1032" s="155"/>
    </row>
    <row r="1033" spans="5:19">
      <c r="E1033" s="139"/>
      <c r="F1033" s="139"/>
      <c r="G1033" s="139"/>
      <c r="H1033" s="139"/>
      <c r="I1033" s="139"/>
      <c r="J1033" s="139"/>
      <c r="N1033" s="155"/>
      <c r="S1033" s="155"/>
    </row>
    <row r="1034" spans="5:19">
      <c r="E1034" s="139"/>
      <c r="F1034" s="139"/>
      <c r="G1034" s="139"/>
      <c r="H1034" s="139"/>
      <c r="I1034" s="139"/>
      <c r="J1034" s="139"/>
      <c r="N1034" s="155"/>
      <c r="S1034" s="155"/>
    </row>
    <row r="1035" spans="5:19">
      <c r="E1035" s="139"/>
      <c r="F1035" s="139"/>
      <c r="G1035" s="139"/>
      <c r="H1035" s="139"/>
      <c r="I1035" s="139"/>
      <c r="J1035" s="139"/>
      <c r="N1035" s="155"/>
      <c r="S1035" s="155"/>
    </row>
    <row r="1036" spans="5:19">
      <c r="E1036" s="139"/>
      <c r="F1036" s="139"/>
      <c r="G1036" s="139"/>
      <c r="H1036" s="139"/>
      <c r="I1036" s="139"/>
      <c r="J1036" s="139"/>
      <c r="N1036" s="155"/>
      <c r="S1036" s="155"/>
    </row>
    <row r="1037" spans="5:19">
      <c r="E1037" s="139"/>
      <c r="F1037" s="139"/>
      <c r="G1037" s="139"/>
      <c r="H1037" s="139"/>
      <c r="I1037" s="139"/>
      <c r="J1037" s="139"/>
      <c r="N1037" s="155"/>
      <c r="S1037" s="155"/>
    </row>
    <row r="1038" spans="5:19">
      <c r="E1038" s="139"/>
      <c r="F1038" s="139"/>
      <c r="G1038" s="139"/>
      <c r="H1038" s="139"/>
      <c r="I1038" s="139"/>
      <c r="J1038" s="139"/>
      <c r="N1038" s="155"/>
      <c r="S1038" s="155"/>
    </row>
    <row r="1039" spans="5:19">
      <c r="E1039" s="139"/>
      <c r="F1039" s="139"/>
      <c r="G1039" s="139"/>
      <c r="H1039" s="139"/>
      <c r="I1039" s="139"/>
      <c r="J1039" s="139"/>
      <c r="N1039" s="155"/>
      <c r="S1039" s="155"/>
    </row>
    <row r="1040" spans="5:19">
      <c r="E1040" s="139"/>
      <c r="F1040" s="139"/>
      <c r="G1040" s="139"/>
      <c r="H1040" s="139"/>
      <c r="I1040" s="139"/>
      <c r="J1040" s="139"/>
      <c r="N1040" s="155"/>
      <c r="S1040" s="155"/>
    </row>
    <row r="1041" spans="5:19">
      <c r="E1041" s="139"/>
      <c r="F1041" s="139"/>
      <c r="G1041" s="139"/>
      <c r="H1041" s="139"/>
      <c r="I1041" s="139"/>
      <c r="J1041" s="139"/>
      <c r="N1041" s="155"/>
      <c r="S1041" s="155"/>
    </row>
    <row r="1042" spans="5:19">
      <c r="E1042" s="139"/>
      <c r="F1042" s="139"/>
      <c r="G1042" s="139"/>
      <c r="H1042" s="139"/>
      <c r="I1042" s="139"/>
      <c r="J1042" s="139"/>
      <c r="N1042" s="155"/>
      <c r="S1042" s="155"/>
    </row>
    <row r="1043" spans="5:19">
      <c r="E1043" s="139"/>
      <c r="F1043" s="139"/>
      <c r="G1043" s="139"/>
      <c r="H1043" s="139"/>
      <c r="I1043" s="139"/>
      <c r="J1043" s="139"/>
      <c r="N1043" s="155"/>
      <c r="S1043" s="155"/>
    </row>
    <row r="1044" spans="5:19">
      <c r="E1044" s="139"/>
      <c r="F1044" s="139"/>
      <c r="G1044" s="139"/>
      <c r="H1044" s="139"/>
      <c r="I1044" s="139"/>
      <c r="J1044" s="139"/>
      <c r="N1044" s="155"/>
      <c r="S1044" s="155"/>
    </row>
    <row r="1045" spans="5:19">
      <c r="E1045" s="139"/>
      <c r="F1045" s="139"/>
      <c r="G1045" s="139"/>
      <c r="H1045" s="139"/>
      <c r="I1045" s="139"/>
      <c r="J1045" s="139"/>
      <c r="N1045" s="155"/>
      <c r="S1045" s="155"/>
    </row>
    <row r="1046" spans="5:19">
      <c r="E1046" s="139"/>
      <c r="F1046" s="139"/>
      <c r="G1046" s="139"/>
      <c r="H1046" s="139"/>
      <c r="I1046" s="139"/>
      <c r="J1046" s="139"/>
      <c r="N1046" s="155"/>
      <c r="S1046" s="155"/>
    </row>
    <row r="1047" spans="5:19">
      <c r="E1047" s="139"/>
      <c r="F1047" s="139"/>
      <c r="G1047" s="139"/>
      <c r="H1047" s="139"/>
      <c r="I1047" s="139"/>
      <c r="J1047" s="139"/>
      <c r="N1047" s="155"/>
      <c r="S1047" s="155"/>
    </row>
    <row r="1048" spans="5:19">
      <c r="E1048" s="139"/>
      <c r="F1048" s="139"/>
      <c r="G1048" s="139"/>
      <c r="H1048" s="139"/>
      <c r="I1048" s="139"/>
      <c r="J1048" s="139"/>
      <c r="N1048" s="155"/>
      <c r="S1048" s="155"/>
    </row>
    <row r="1049" spans="5:19">
      <c r="E1049" s="139"/>
      <c r="F1049" s="139"/>
      <c r="G1049" s="139"/>
      <c r="H1049" s="139"/>
      <c r="I1049" s="139"/>
      <c r="J1049" s="139"/>
      <c r="N1049" s="155"/>
      <c r="S1049" s="155"/>
    </row>
    <row r="1050" spans="5:19">
      <c r="E1050" s="139"/>
      <c r="F1050" s="139"/>
      <c r="G1050" s="139"/>
      <c r="H1050" s="139"/>
      <c r="I1050" s="139"/>
      <c r="J1050" s="139"/>
      <c r="N1050" s="155"/>
      <c r="S1050" s="155"/>
    </row>
    <row r="1051" spans="5:19">
      <c r="E1051" s="139"/>
      <c r="F1051" s="139"/>
      <c r="G1051" s="139"/>
      <c r="H1051" s="139"/>
      <c r="I1051" s="139"/>
      <c r="J1051" s="139"/>
      <c r="N1051" s="155"/>
      <c r="S1051" s="155"/>
    </row>
    <row r="1052" spans="5:19">
      <c r="E1052" s="139"/>
      <c r="F1052" s="139"/>
      <c r="G1052" s="139"/>
      <c r="H1052" s="139"/>
      <c r="I1052" s="139"/>
      <c r="J1052" s="139"/>
      <c r="N1052" s="155"/>
      <c r="S1052" s="155"/>
    </row>
    <row r="1053" spans="5:19">
      <c r="E1053" s="139"/>
      <c r="F1053" s="139"/>
      <c r="G1053" s="139"/>
      <c r="H1053" s="139"/>
      <c r="I1053" s="139"/>
      <c r="J1053" s="139"/>
      <c r="N1053" s="155"/>
      <c r="S1053" s="155"/>
    </row>
    <row r="1054" spans="5:19">
      <c r="E1054" s="139"/>
      <c r="F1054" s="139"/>
      <c r="G1054" s="139"/>
      <c r="H1054" s="139"/>
      <c r="I1054" s="139"/>
      <c r="J1054" s="139"/>
      <c r="N1054" s="155"/>
      <c r="S1054" s="155"/>
    </row>
    <row r="1055" spans="5:19">
      <c r="E1055" s="139"/>
      <c r="F1055" s="139"/>
      <c r="G1055" s="139"/>
      <c r="H1055" s="139"/>
      <c r="I1055" s="139"/>
      <c r="J1055" s="139"/>
      <c r="N1055" s="155"/>
      <c r="S1055" s="155"/>
    </row>
    <row r="1056" spans="5:19">
      <c r="E1056" s="139"/>
      <c r="F1056" s="139"/>
      <c r="G1056" s="139"/>
      <c r="H1056" s="139"/>
      <c r="I1056" s="139"/>
      <c r="J1056" s="139"/>
      <c r="N1056" s="155"/>
      <c r="S1056" s="155"/>
    </row>
    <row r="1057" spans="5:19">
      <c r="E1057" s="139"/>
      <c r="F1057" s="139"/>
      <c r="G1057" s="139"/>
      <c r="H1057" s="139"/>
      <c r="I1057" s="139"/>
      <c r="J1057" s="139"/>
      <c r="N1057" s="155"/>
      <c r="S1057" s="155"/>
    </row>
    <row r="1058" spans="5:19">
      <c r="E1058" s="139"/>
      <c r="F1058" s="139"/>
      <c r="G1058" s="139"/>
      <c r="H1058" s="139"/>
      <c r="I1058" s="139"/>
      <c r="J1058" s="139"/>
      <c r="N1058" s="155"/>
      <c r="S1058" s="155"/>
    </row>
    <row r="1059" spans="5:19">
      <c r="E1059" s="139"/>
      <c r="F1059" s="139"/>
      <c r="G1059" s="139"/>
      <c r="H1059" s="139"/>
      <c r="I1059" s="139"/>
      <c r="J1059" s="139"/>
      <c r="N1059" s="155"/>
      <c r="S1059" s="155"/>
    </row>
    <row r="1060" spans="5:19">
      <c r="E1060" s="139"/>
      <c r="F1060" s="139"/>
      <c r="G1060" s="139"/>
      <c r="H1060" s="139"/>
      <c r="I1060" s="139"/>
      <c r="J1060" s="139"/>
      <c r="N1060" s="155"/>
      <c r="S1060" s="155"/>
    </row>
    <row r="1061" spans="5:19">
      <c r="E1061" s="139"/>
      <c r="F1061" s="139"/>
      <c r="G1061" s="139"/>
      <c r="H1061" s="139"/>
      <c r="I1061" s="139"/>
      <c r="J1061" s="139"/>
      <c r="N1061" s="155"/>
      <c r="S1061" s="155"/>
    </row>
    <row r="1062" spans="5:19">
      <c r="E1062" s="139"/>
      <c r="F1062" s="139"/>
      <c r="G1062" s="139"/>
      <c r="H1062" s="139"/>
      <c r="I1062" s="139"/>
      <c r="J1062" s="139"/>
      <c r="N1062" s="155"/>
      <c r="S1062" s="155"/>
    </row>
    <row r="1063" spans="5:19">
      <c r="E1063" s="139"/>
      <c r="F1063" s="139"/>
      <c r="G1063" s="139"/>
      <c r="H1063" s="139"/>
      <c r="I1063" s="139"/>
      <c r="J1063" s="139"/>
      <c r="N1063" s="155"/>
      <c r="S1063" s="155"/>
    </row>
    <row r="1064" spans="5:19">
      <c r="E1064" s="139"/>
      <c r="F1064" s="139"/>
      <c r="G1064" s="139"/>
      <c r="H1064" s="139"/>
      <c r="I1064" s="139"/>
      <c r="J1064" s="139"/>
      <c r="N1064" s="155"/>
      <c r="S1064" s="155"/>
    </row>
    <row r="1065" spans="5:19">
      <c r="E1065" s="139"/>
      <c r="F1065" s="139"/>
      <c r="G1065" s="139"/>
      <c r="H1065" s="139"/>
      <c r="I1065" s="139"/>
      <c r="J1065" s="139"/>
      <c r="N1065" s="155"/>
      <c r="S1065" s="155"/>
    </row>
    <row r="1066" spans="5:19">
      <c r="E1066" s="139"/>
      <c r="F1066" s="139"/>
      <c r="G1066" s="139"/>
      <c r="H1066" s="139"/>
      <c r="I1066" s="139"/>
      <c r="J1066" s="139"/>
      <c r="N1066" s="155"/>
      <c r="S1066" s="155"/>
    </row>
    <row r="1067" spans="5:19">
      <c r="E1067" s="139"/>
      <c r="F1067" s="139"/>
      <c r="G1067" s="139"/>
      <c r="H1067" s="139"/>
      <c r="I1067" s="139"/>
      <c r="J1067" s="139"/>
      <c r="N1067" s="155"/>
      <c r="S1067" s="155"/>
    </row>
    <row r="1068" spans="5:19">
      <c r="E1068" s="139"/>
      <c r="F1068" s="139"/>
      <c r="G1068" s="139"/>
      <c r="H1068" s="139"/>
      <c r="I1068" s="139"/>
      <c r="J1068" s="139"/>
      <c r="N1068" s="155"/>
      <c r="S1068" s="155"/>
    </row>
    <row r="1069" spans="5:19">
      <c r="E1069" s="139"/>
      <c r="F1069" s="139"/>
      <c r="G1069" s="139"/>
      <c r="H1069" s="139"/>
      <c r="I1069" s="139"/>
      <c r="J1069" s="139"/>
      <c r="N1069" s="155"/>
      <c r="S1069" s="155"/>
    </row>
    <row r="1070" spans="5:19">
      <c r="E1070" s="139"/>
      <c r="F1070" s="139"/>
      <c r="G1070" s="139"/>
      <c r="H1070" s="139"/>
      <c r="I1070" s="139"/>
      <c r="J1070" s="139"/>
      <c r="N1070" s="155"/>
      <c r="S1070" s="155"/>
    </row>
    <row r="1071" spans="5:19">
      <c r="E1071" s="139"/>
      <c r="F1071" s="139"/>
      <c r="G1071" s="139"/>
      <c r="H1071" s="139"/>
      <c r="I1071" s="139"/>
      <c r="J1071" s="139"/>
      <c r="N1071" s="155"/>
      <c r="S1071" s="155"/>
    </row>
    <row r="1072" spans="5:19">
      <c r="E1072" s="139"/>
      <c r="F1072" s="139"/>
      <c r="G1072" s="139"/>
      <c r="H1072" s="139"/>
      <c r="I1072" s="139"/>
      <c r="J1072" s="139"/>
      <c r="N1072" s="155"/>
      <c r="S1072" s="155"/>
    </row>
    <row r="1073" spans="5:19">
      <c r="E1073" s="139"/>
      <c r="F1073" s="139"/>
      <c r="G1073" s="139"/>
      <c r="H1073" s="139"/>
      <c r="I1073" s="139"/>
      <c r="J1073" s="139"/>
      <c r="N1073" s="155"/>
      <c r="S1073" s="155"/>
    </row>
    <row r="1074" spans="5:19">
      <c r="E1074" s="139"/>
      <c r="F1074" s="139"/>
      <c r="G1074" s="139"/>
      <c r="H1074" s="139"/>
      <c r="I1074" s="139"/>
      <c r="J1074" s="139"/>
      <c r="N1074" s="155"/>
      <c r="S1074" s="155"/>
    </row>
    <row r="1075" spans="5:19">
      <c r="E1075" s="139"/>
      <c r="F1075" s="139"/>
      <c r="G1075" s="139"/>
      <c r="H1075" s="139"/>
      <c r="I1075" s="139"/>
      <c r="J1075" s="139"/>
      <c r="N1075" s="155"/>
      <c r="S1075" s="155"/>
    </row>
    <row r="1076" spans="5:19">
      <c r="E1076" s="139"/>
      <c r="F1076" s="139"/>
      <c r="G1076" s="139"/>
      <c r="H1076" s="139"/>
      <c r="I1076" s="139"/>
      <c r="J1076" s="139"/>
      <c r="N1076" s="155"/>
      <c r="S1076" s="155"/>
    </row>
    <row r="1077" spans="5:19">
      <c r="E1077" s="139"/>
      <c r="F1077" s="139"/>
      <c r="G1077" s="139"/>
      <c r="H1077" s="139"/>
      <c r="I1077" s="139"/>
      <c r="J1077" s="139"/>
      <c r="N1077" s="155"/>
      <c r="S1077" s="155"/>
    </row>
    <row r="1078" spans="5:19">
      <c r="E1078" s="139"/>
      <c r="F1078" s="139"/>
      <c r="G1078" s="139"/>
      <c r="H1078" s="139"/>
      <c r="I1078" s="139"/>
      <c r="J1078" s="139"/>
      <c r="N1078" s="155"/>
      <c r="S1078" s="155"/>
    </row>
    <row r="1079" spans="5:19">
      <c r="E1079" s="139"/>
      <c r="F1079" s="139"/>
      <c r="G1079" s="139"/>
      <c r="H1079" s="139"/>
      <c r="I1079" s="139"/>
      <c r="J1079" s="139"/>
      <c r="N1079" s="155"/>
      <c r="S1079" s="155"/>
    </row>
    <row r="1080" spans="5:19">
      <c r="E1080" s="139"/>
      <c r="F1080" s="139"/>
      <c r="G1080" s="139"/>
      <c r="H1080" s="139"/>
      <c r="I1080" s="139"/>
      <c r="J1080" s="139"/>
      <c r="N1080" s="155"/>
      <c r="S1080" s="155"/>
    </row>
    <row r="1081" spans="5:19">
      <c r="E1081" s="139"/>
      <c r="F1081" s="139"/>
      <c r="G1081" s="139"/>
      <c r="H1081" s="139"/>
      <c r="I1081" s="139"/>
      <c r="J1081" s="139"/>
      <c r="N1081" s="155"/>
      <c r="S1081" s="155"/>
    </row>
    <row r="1082" spans="5:19">
      <c r="E1082" s="139"/>
      <c r="F1082" s="139"/>
      <c r="G1082" s="139"/>
      <c r="H1082" s="139"/>
      <c r="I1082" s="139"/>
      <c r="J1082" s="139"/>
      <c r="N1082" s="155"/>
      <c r="S1082" s="155"/>
    </row>
    <row r="1083" spans="5:19">
      <c r="E1083" s="139"/>
      <c r="F1083" s="139"/>
      <c r="G1083" s="139"/>
      <c r="H1083" s="139"/>
      <c r="I1083" s="139"/>
      <c r="J1083" s="139"/>
      <c r="N1083" s="155"/>
      <c r="S1083" s="155"/>
    </row>
    <row r="1084" spans="5:19">
      <c r="E1084" s="139"/>
      <c r="F1084" s="139"/>
      <c r="G1084" s="139"/>
      <c r="H1084" s="139"/>
      <c r="I1084" s="139"/>
      <c r="J1084" s="139"/>
      <c r="N1084" s="155"/>
      <c r="S1084" s="155"/>
    </row>
    <row r="1085" spans="5:19">
      <c r="E1085" s="139"/>
      <c r="F1085" s="139"/>
      <c r="G1085" s="139"/>
      <c r="H1085" s="139"/>
      <c r="I1085" s="139"/>
      <c r="J1085" s="139"/>
      <c r="N1085" s="155"/>
      <c r="S1085" s="155"/>
    </row>
    <row r="1086" spans="5:19">
      <c r="E1086" s="139"/>
      <c r="F1086" s="139"/>
      <c r="G1086" s="139"/>
      <c r="H1086" s="139"/>
      <c r="I1086" s="139"/>
      <c r="J1086" s="139"/>
      <c r="N1086" s="155"/>
      <c r="S1086" s="155"/>
    </row>
    <row r="1087" spans="5:19">
      <c r="E1087" s="139"/>
      <c r="F1087" s="139"/>
      <c r="G1087" s="139"/>
      <c r="H1087" s="139"/>
      <c r="I1087" s="139"/>
      <c r="J1087" s="139"/>
      <c r="N1087" s="155"/>
      <c r="S1087" s="155"/>
    </row>
    <row r="1088" spans="5:19">
      <c r="E1088" s="139"/>
      <c r="F1088" s="139"/>
      <c r="G1088" s="139"/>
      <c r="H1088" s="139"/>
      <c r="I1088" s="139"/>
      <c r="J1088" s="139"/>
      <c r="N1088" s="155"/>
      <c r="S1088" s="155"/>
    </row>
    <row r="1089" spans="5:19">
      <c r="E1089" s="139"/>
      <c r="F1089" s="139"/>
      <c r="G1089" s="139"/>
      <c r="H1089" s="139"/>
      <c r="I1089" s="139"/>
      <c r="J1089" s="139"/>
      <c r="N1089" s="155"/>
      <c r="S1089" s="155"/>
    </row>
    <row r="1090" spans="5:19">
      <c r="E1090" s="139"/>
      <c r="F1090" s="139"/>
      <c r="G1090" s="139"/>
      <c r="H1090" s="139"/>
      <c r="I1090" s="139"/>
      <c r="J1090" s="139"/>
      <c r="N1090" s="155"/>
      <c r="S1090" s="155"/>
    </row>
    <row r="1091" spans="5:19">
      <c r="E1091" s="139"/>
      <c r="F1091" s="139"/>
      <c r="G1091" s="139"/>
      <c r="H1091" s="139"/>
      <c r="I1091" s="139"/>
      <c r="J1091" s="139"/>
      <c r="N1091" s="155"/>
      <c r="S1091" s="155"/>
    </row>
    <row r="1092" spans="5:19">
      <c r="E1092" s="139"/>
      <c r="F1092" s="139"/>
      <c r="G1092" s="139"/>
      <c r="H1092" s="139"/>
      <c r="I1092" s="139"/>
      <c r="J1092" s="139"/>
      <c r="N1092" s="155"/>
      <c r="S1092" s="155"/>
    </row>
    <row r="1093" spans="5:19">
      <c r="E1093" s="139"/>
      <c r="F1093" s="139"/>
      <c r="G1093" s="139"/>
      <c r="H1093" s="139"/>
      <c r="I1093" s="139"/>
      <c r="J1093" s="139"/>
      <c r="N1093" s="155"/>
      <c r="S1093" s="155"/>
    </row>
    <row r="1094" spans="5:19">
      <c r="E1094" s="139"/>
      <c r="F1094" s="139"/>
      <c r="G1094" s="139"/>
      <c r="H1094" s="139"/>
      <c r="I1094" s="139"/>
      <c r="J1094" s="139"/>
      <c r="N1094" s="155"/>
      <c r="S1094" s="155"/>
    </row>
    <row r="1095" spans="5:19">
      <c r="E1095" s="139"/>
      <c r="F1095" s="139"/>
      <c r="G1095" s="139"/>
      <c r="H1095" s="139"/>
      <c r="I1095" s="139"/>
      <c r="J1095" s="139"/>
      <c r="N1095" s="155"/>
      <c r="S1095" s="155"/>
    </row>
    <row r="1096" spans="5:19">
      <c r="E1096" s="139"/>
      <c r="F1096" s="139"/>
      <c r="G1096" s="139"/>
      <c r="H1096" s="139"/>
      <c r="I1096" s="139"/>
      <c r="J1096" s="139"/>
      <c r="N1096" s="155"/>
      <c r="S1096" s="155"/>
    </row>
    <row r="1097" spans="5:19">
      <c r="E1097" s="139"/>
      <c r="F1097" s="139"/>
      <c r="G1097" s="139"/>
      <c r="H1097" s="139"/>
      <c r="I1097" s="139"/>
      <c r="J1097" s="139"/>
      <c r="N1097" s="155"/>
      <c r="S1097" s="155"/>
    </row>
    <row r="1098" spans="5:19">
      <c r="E1098" s="139"/>
      <c r="F1098" s="139"/>
      <c r="G1098" s="139"/>
      <c r="H1098" s="139"/>
      <c r="I1098" s="139"/>
      <c r="J1098" s="139"/>
      <c r="N1098" s="155"/>
      <c r="S1098" s="155"/>
    </row>
    <row r="1099" spans="5:19">
      <c r="E1099" s="139"/>
      <c r="F1099" s="139"/>
      <c r="G1099" s="139"/>
      <c r="H1099" s="139"/>
      <c r="I1099" s="139"/>
      <c r="J1099" s="139"/>
      <c r="N1099" s="155"/>
      <c r="S1099" s="155"/>
    </row>
    <row r="1100" spans="5:19">
      <c r="E1100" s="139"/>
      <c r="F1100" s="139"/>
      <c r="G1100" s="139"/>
      <c r="H1100" s="139"/>
      <c r="I1100" s="139"/>
      <c r="J1100" s="139"/>
      <c r="N1100" s="155"/>
      <c r="S1100" s="155"/>
    </row>
    <row r="1101" spans="5:19">
      <c r="E1101" s="139"/>
      <c r="F1101" s="139"/>
      <c r="G1101" s="139"/>
      <c r="H1101" s="139"/>
      <c r="I1101" s="139"/>
      <c r="J1101" s="139"/>
      <c r="N1101" s="155"/>
      <c r="S1101" s="155"/>
    </row>
    <row r="1102" spans="5:19">
      <c r="E1102" s="139"/>
      <c r="F1102" s="139"/>
      <c r="G1102" s="139"/>
      <c r="H1102" s="139"/>
      <c r="I1102" s="139"/>
      <c r="J1102" s="139"/>
      <c r="N1102" s="155"/>
      <c r="S1102" s="155"/>
    </row>
    <row r="1103" spans="5:19">
      <c r="E1103" s="139"/>
      <c r="F1103" s="139"/>
      <c r="G1103" s="139"/>
      <c r="H1103" s="139"/>
      <c r="I1103" s="139"/>
      <c r="J1103" s="139"/>
      <c r="N1103" s="155"/>
      <c r="S1103" s="155"/>
    </row>
    <row r="1104" spans="5:19">
      <c r="E1104" s="139"/>
      <c r="F1104" s="139"/>
      <c r="G1104" s="139"/>
      <c r="H1104" s="139"/>
      <c r="I1104" s="139"/>
      <c r="J1104" s="139"/>
      <c r="N1104" s="155"/>
      <c r="S1104" s="155"/>
    </row>
    <row r="1105" spans="5:19">
      <c r="E1105" s="139"/>
      <c r="F1105" s="139"/>
      <c r="G1105" s="139"/>
      <c r="H1105" s="139"/>
      <c r="I1105" s="139"/>
      <c r="J1105" s="139"/>
      <c r="N1105" s="155"/>
      <c r="S1105" s="155"/>
    </row>
    <row r="1106" spans="5:19">
      <c r="E1106" s="139"/>
      <c r="F1106" s="139"/>
      <c r="G1106" s="139"/>
      <c r="H1106" s="139"/>
      <c r="I1106" s="139"/>
      <c r="J1106" s="139"/>
      <c r="N1106" s="155"/>
      <c r="S1106" s="155"/>
    </row>
    <row r="1107" spans="5:19">
      <c r="E1107" s="139"/>
      <c r="F1107" s="139"/>
      <c r="G1107" s="139"/>
      <c r="H1107" s="139"/>
      <c r="I1107" s="139"/>
      <c r="J1107" s="139"/>
      <c r="N1107" s="155"/>
      <c r="S1107" s="155"/>
    </row>
    <row r="1108" spans="5:19">
      <c r="E1108" s="139"/>
      <c r="F1108" s="139"/>
      <c r="G1108" s="139"/>
      <c r="H1108" s="139"/>
      <c r="I1108" s="139"/>
      <c r="J1108" s="139"/>
      <c r="N1108" s="155"/>
      <c r="S1108" s="155"/>
    </row>
    <row r="1109" spans="5:19">
      <c r="E1109" s="139"/>
      <c r="F1109" s="139"/>
      <c r="G1109" s="139"/>
      <c r="H1109" s="139"/>
      <c r="I1109" s="139"/>
      <c r="J1109" s="139"/>
      <c r="N1109" s="155"/>
      <c r="S1109" s="155"/>
    </row>
    <row r="1110" spans="5:19">
      <c r="E1110" s="139"/>
      <c r="F1110" s="139"/>
      <c r="G1110" s="139"/>
      <c r="H1110" s="139"/>
      <c r="I1110" s="139"/>
      <c r="J1110" s="139"/>
      <c r="N1110" s="155"/>
      <c r="S1110" s="155"/>
    </row>
    <row r="1111" spans="5:19">
      <c r="E1111" s="139"/>
      <c r="F1111" s="139"/>
      <c r="G1111" s="139"/>
      <c r="H1111" s="139"/>
      <c r="I1111" s="139"/>
      <c r="J1111" s="139"/>
      <c r="N1111" s="155"/>
      <c r="S1111" s="155"/>
    </row>
    <row r="1112" spans="5:19">
      <c r="E1112" s="139"/>
      <c r="F1112" s="139"/>
      <c r="G1112" s="139"/>
      <c r="H1112" s="139"/>
      <c r="I1112" s="139"/>
      <c r="J1112" s="139"/>
      <c r="N1112" s="155"/>
      <c r="S1112" s="155"/>
    </row>
    <row r="1113" spans="5:19">
      <c r="E1113" s="139"/>
      <c r="F1113" s="139"/>
      <c r="G1113" s="139"/>
      <c r="H1113" s="139"/>
      <c r="I1113" s="139"/>
      <c r="J1113" s="139"/>
      <c r="N1113" s="155"/>
      <c r="S1113" s="155"/>
    </row>
    <row r="1114" spans="5:19">
      <c r="E1114" s="139"/>
      <c r="F1114" s="139"/>
      <c r="G1114" s="139"/>
      <c r="H1114" s="139"/>
      <c r="I1114" s="139"/>
      <c r="J1114" s="139"/>
      <c r="N1114" s="155"/>
      <c r="S1114" s="155"/>
    </row>
    <row r="1115" spans="5:19">
      <c r="E1115" s="139"/>
      <c r="F1115" s="139"/>
      <c r="G1115" s="139"/>
      <c r="H1115" s="139"/>
      <c r="I1115" s="139"/>
      <c r="J1115" s="139"/>
      <c r="N1115" s="155"/>
      <c r="S1115" s="155"/>
    </row>
    <row r="1116" spans="5:19">
      <c r="E1116" s="139"/>
      <c r="F1116" s="139"/>
      <c r="G1116" s="139"/>
      <c r="H1116" s="139"/>
      <c r="I1116" s="139"/>
      <c r="J1116" s="139"/>
      <c r="N1116" s="155"/>
      <c r="S1116" s="155"/>
    </row>
    <row r="1117" spans="5:19">
      <c r="E1117" s="139"/>
      <c r="F1117" s="139"/>
      <c r="G1117" s="139"/>
      <c r="H1117" s="139"/>
      <c r="I1117" s="139"/>
      <c r="J1117" s="139"/>
      <c r="N1117" s="155"/>
      <c r="S1117" s="155"/>
    </row>
    <row r="1118" spans="5:19">
      <c r="E1118" s="139"/>
      <c r="F1118" s="139"/>
      <c r="G1118" s="139"/>
      <c r="H1118" s="139"/>
      <c r="I1118" s="139"/>
      <c r="J1118" s="139"/>
      <c r="N1118" s="155"/>
      <c r="S1118" s="155"/>
    </row>
    <row r="1119" spans="5:19">
      <c r="E1119" s="139"/>
      <c r="F1119" s="139"/>
      <c r="G1119" s="139"/>
      <c r="H1119" s="139"/>
      <c r="I1119" s="139"/>
      <c r="J1119" s="139"/>
      <c r="N1119" s="155"/>
      <c r="S1119" s="155"/>
    </row>
    <row r="1120" spans="5:19">
      <c r="E1120" s="139"/>
      <c r="F1120" s="139"/>
      <c r="G1120" s="139"/>
      <c r="H1120" s="139"/>
      <c r="I1120" s="139"/>
      <c r="J1120" s="139"/>
      <c r="N1120" s="155"/>
      <c r="S1120" s="155"/>
    </row>
    <row r="1121" spans="5:19">
      <c r="E1121" s="139"/>
      <c r="F1121" s="139"/>
      <c r="G1121" s="139"/>
      <c r="H1121" s="139"/>
      <c r="I1121" s="139"/>
      <c r="J1121" s="139"/>
      <c r="N1121" s="155"/>
      <c r="S1121" s="155"/>
    </row>
    <row r="1122" spans="5:19">
      <c r="E1122" s="139"/>
      <c r="F1122" s="139"/>
      <c r="G1122" s="139"/>
      <c r="H1122" s="139"/>
      <c r="I1122" s="139"/>
      <c r="J1122" s="139"/>
      <c r="N1122" s="155"/>
      <c r="S1122" s="155"/>
    </row>
    <row r="1123" spans="5:19">
      <c r="E1123" s="139"/>
      <c r="F1123" s="139"/>
      <c r="G1123" s="139"/>
      <c r="H1123" s="139"/>
      <c r="I1123" s="139"/>
      <c r="J1123" s="139"/>
      <c r="N1123" s="155"/>
      <c r="S1123" s="155"/>
    </row>
    <row r="1124" spans="5:19">
      <c r="E1124" s="139"/>
      <c r="F1124" s="139"/>
      <c r="G1124" s="139"/>
      <c r="H1124" s="139"/>
      <c r="I1124" s="139"/>
      <c r="J1124" s="139"/>
      <c r="N1124" s="155"/>
      <c r="S1124" s="155"/>
    </row>
    <row r="1125" spans="5:19">
      <c r="E1125" s="139"/>
      <c r="F1125" s="139"/>
      <c r="G1125" s="139"/>
      <c r="H1125" s="139"/>
      <c r="I1125" s="139"/>
      <c r="J1125" s="139"/>
      <c r="N1125" s="155"/>
      <c r="S1125" s="155"/>
    </row>
    <row r="1126" spans="5:19">
      <c r="E1126" s="139"/>
      <c r="F1126" s="139"/>
      <c r="G1126" s="139"/>
      <c r="H1126" s="139"/>
      <c r="I1126" s="139"/>
      <c r="J1126" s="139"/>
      <c r="N1126" s="155"/>
      <c r="S1126" s="155"/>
    </row>
    <row r="1127" spans="5:19">
      <c r="E1127" s="139"/>
      <c r="F1127" s="139"/>
      <c r="G1127" s="139"/>
      <c r="H1127" s="139"/>
      <c r="I1127" s="139"/>
      <c r="J1127" s="139"/>
      <c r="N1127" s="155"/>
      <c r="S1127" s="155"/>
    </row>
    <row r="1128" spans="5:19">
      <c r="E1128" s="139"/>
      <c r="F1128" s="139"/>
      <c r="G1128" s="139"/>
      <c r="H1128" s="139"/>
      <c r="I1128" s="139"/>
      <c r="J1128" s="139"/>
      <c r="N1128" s="155"/>
      <c r="S1128" s="155"/>
    </row>
    <row r="1129" spans="5:19">
      <c r="E1129" s="139"/>
      <c r="F1129" s="139"/>
      <c r="G1129" s="139"/>
      <c r="H1129" s="139"/>
      <c r="I1129" s="139"/>
      <c r="J1129" s="139"/>
      <c r="N1129" s="155"/>
      <c r="S1129" s="155"/>
    </row>
    <row r="1130" spans="5:19">
      <c r="E1130" s="139"/>
      <c r="F1130" s="139"/>
      <c r="G1130" s="139"/>
      <c r="H1130" s="139"/>
      <c r="I1130" s="139"/>
      <c r="J1130" s="139"/>
      <c r="N1130" s="155"/>
      <c r="S1130" s="155"/>
    </row>
    <row r="1131" spans="5:19">
      <c r="E1131" s="139"/>
      <c r="F1131" s="139"/>
      <c r="G1131" s="139"/>
      <c r="H1131" s="139"/>
      <c r="I1131" s="139"/>
      <c r="J1131" s="139"/>
      <c r="N1131" s="155"/>
      <c r="S1131" s="155"/>
    </row>
    <row r="1132" spans="5:19">
      <c r="E1132" s="139"/>
      <c r="F1132" s="139"/>
      <c r="G1132" s="139"/>
      <c r="H1132" s="139"/>
      <c r="I1132" s="139"/>
      <c r="J1132" s="139"/>
      <c r="N1132" s="155"/>
      <c r="S1132" s="155"/>
    </row>
    <row r="1133" spans="5:19">
      <c r="E1133" s="139"/>
      <c r="F1133" s="139"/>
      <c r="G1133" s="139"/>
      <c r="H1133" s="139"/>
      <c r="I1133" s="139"/>
      <c r="J1133" s="139"/>
      <c r="N1133" s="155"/>
      <c r="S1133" s="155"/>
    </row>
    <row r="1134" spans="5:19">
      <c r="E1134" s="139"/>
      <c r="F1134" s="139"/>
      <c r="G1134" s="139"/>
      <c r="H1134" s="139"/>
      <c r="I1134" s="139"/>
      <c r="J1134" s="139"/>
      <c r="N1134" s="155"/>
      <c r="S1134" s="155"/>
    </row>
    <row r="1135" spans="5:19">
      <c r="E1135" s="139"/>
      <c r="F1135" s="139"/>
      <c r="G1135" s="139"/>
      <c r="H1135" s="139"/>
      <c r="I1135" s="139"/>
      <c r="J1135" s="139"/>
      <c r="N1135" s="155"/>
      <c r="S1135" s="155"/>
    </row>
    <row r="1136" spans="5:19">
      <c r="E1136" s="139"/>
      <c r="F1136" s="139"/>
      <c r="G1136" s="139"/>
      <c r="H1136" s="139"/>
      <c r="I1136" s="139"/>
      <c r="J1136" s="139"/>
      <c r="N1136" s="155"/>
      <c r="S1136" s="155"/>
    </row>
    <row r="1137" spans="5:19">
      <c r="E1137" s="139"/>
      <c r="F1137" s="139"/>
      <c r="G1137" s="139"/>
      <c r="H1137" s="139"/>
      <c r="I1137" s="139"/>
      <c r="J1137" s="139"/>
      <c r="N1137" s="155"/>
      <c r="S1137" s="155"/>
    </row>
    <row r="1138" spans="5:19">
      <c r="E1138" s="139"/>
      <c r="F1138" s="139"/>
      <c r="G1138" s="139"/>
      <c r="H1138" s="139"/>
      <c r="I1138" s="139"/>
      <c r="J1138" s="139"/>
      <c r="N1138" s="155"/>
      <c r="S1138" s="155"/>
    </row>
    <row r="1139" spans="5:19">
      <c r="E1139" s="139"/>
      <c r="F1139" s="139"/>
      <c r="G1139" s="139"/>
      <c r="H1139" s="139"/>
      <c r="I1139" s="139"/>
      <c r="J1139" s="139"/>
      <c r="N1139" s="155"/>
      <c r="S1139" s="155"/>
    </row>
    <row r="1140" spans="5:19">
      <c r="E1140" s="139"/>
      <c r="F1140" s="139"/>
      <c r="G1140" s="139"/>
      <c r="H1140" s="139"/>
      <c r="I1140" s="139"/>
      <c r="J1140" s="139"/>
      <c r="N1140" s="155"/>
      <c r="S1140" s="155"/>
    </row>
    <row r="1141" spans="5:19">
      <c r="E1141" s="139"/>
      <c r="F1141" s="139"/>
      <c r="G1141" s="139"/>
      <c r="H1141" s="139"/>
      <c r="I1141" s="139"/>
      <c r="J1141" s="139"/>
      <c r="N1141" s="155"/>
      <c r="S1141" s="155"/>
    </row>
    <row r="1142" spans="5:19">
      <c r="E1142" s="139"/>
      <c r="F1142" s="139"/>
      <c r="G1142" s="139"/>
      <c r="H1142" s="139"/>
      <c r="I1142" s="139"/>
      <c r="J1142" s="139"/>
      <c r="N1142" s="155"/>
      <c r="S1142" s="155"/>
    </row>
    <row r="1143" spans="5:19">
      <c r="E1143" s="139"/>
      <c r="F1143" s="139"/>
      <c r="G1143" s="139"/>
      <c r="H1143" s="139"/>
      <c r="I1143" s="139"/>
      <c r="J1143" s="139"/>
      <c r="N1143" s="155"/>
      <c r="S1143" s="155"/>
    </row>
    <row r="1144" spans="5:19">
      <c r="E1144" s="139"/>
      <c r="F1144" s="139"/>
      <c r="G1144" s="139"/>
      <c r="H1144" s="139"/>
      <c r="I1144" s="139"/>
      <c r="J1144" s="139"/>
      <c r="N1144" s="155"/>
      <c r="S1144" s="155"/>
    </row>
    <row r="1145" spans="5:19">
      <c r="E1145" s="139"/>
      <c r="F1145" s="139"/>
      <c r="G1145" s="139"/>
      <c r="H1145" s="139"/>
      <c r="I1145" s="139"/>
      <c r="J1145" s="139"/>
      <c r="N1145" s="155"/>
      <c r="S1145" s="155"/>
    </row>
    <row r="1146" spans="5:19">
      <c r="E1146" s="139"/>
      <c r="F1146" s="139"/>
      <c r="G1146" s="139"/>
      <c r="H1146" s="139"/>
      <c r="I1146" s="139"/>
      <c r="J1146" s="139"/>
      <c r="N1146" s="155"/>
      <c r="S1146" s="155"/>
    </row>
    <row r="1147" spans="5:19">
      <c r="E1147" s="139"/>
      <c r="F1147" s="139"/>
      <c r="G1147" s="139"/>
      <c r="H1147" s="139"/>
      <c r="I1147" s="139"/>
      <c r="J1147" s="139"/>
      <c r="N1147" s="155"/>
      <c r="S1147" s="155"/>
    </row>
    <row r="1148" spans="5:19">
      <c r="E1148" s="139"/>
      <c r="F1148" s="139"/>
      <c r="G1148" s="139"/>
      <c r="H1148" s="139"/>
      <c r="I1148" s="139"/>
      <c r="J1148" s="139"/>
      <c r="N1148" s="155"/>
      <c r="S1148" s="155"/>
    </row>
    <row r="1149" spans="5:19">
      <c r="E1149" s="139"/>
      <c r="F1149" s="139"/>
      <c r="G1149" s="139"/>
      <c r="H1149" s="139"/>
      <c r="I1149" s="139"/>
      <c r="J1149" s="139"/>
      <c r="N1149" s="155"/>
      <c r="S1149" s="155"/>
    </row>
    <row r="1150" spans="5:19">
      <c r="E1150" s="139"/>
      <c r="F1150" s="139"/>
      <c r="G1150" s="139"/>
      <c r="H1150" s="139"/>
      <c r="I1150" s="139"/>
      <c r="J1150" s="139"/>
      <c r="N1150" s="155"/>
      <c r="S1150" s="155"/>
    </row>
    <row r="1151" spans="5:19">
      <c r="E1151" s="139"/>
      <c r="F1151" s="139"/>
      <c r="G1151" s="139"/>
      <c r="H1151" s="139"/>
      <c r="I1151" s="139"/>
      <c r="J1151" s="139"/>
      <c r="N1151" s="155"/>
      <c r="S1151" s="155"/>
    </row>
    <row r="1152" spans="5:19">
      <c r="E1152" s="139"/>
      <c r="F1152" s="139"/>
      <c r="G1152" s="139"/>
      <c r="H1152" s="139"/>
      <c r="I1152" s="139"/>
      <c r="J1152" s="139"/>
      <c r="N1152" s="155"/>
      <c r="S1152" s="155"/>
    </row>
    <row r="1153" spans="5:19">
      <c r="E1153" s="139"/>
      <c r="F1153" s="139"/>
      <c r="G1153" s="139"/>
      <c r="H1153" s="139"/>
      <c r="I1153" s="139"/>
      <c r="J1153" s="139"/>
      <c r="N1153" s="155"/>
      <c r="S1153" s="155"/>
    </row>
    <row r="1154" spans="5:19">
      <c r="E1154" s="139"/>
      <c r="F1154" s="139"/>
      <c r="G1154" s="139"/>
      <c r="H1154" s="139"/>
      <c r="I1154" s="139"/>
      <c r="J1154" s="139"/>
      <c r="N1154" s="155"/>
      <c r="S1154" s="155"/>
    </row>
    <row r="1155" spans="5:19">
      <c r="E1155" s="139"/>
      <c r="F1155" s="139"/>
      <c r="G1155" s="139"/>
      <c r="H1155" s="139"/>
      <c r="I1155" s="139"/>
      <c r="J1155" s="139"/>
      <c r="N1155" s="155"/>
      <c r="S1155" s="155"/>
    </row>
    <row r="1156" spans="5:19">
      <c r="E1156" s="139"/>
      <c r="F1156" s="139"/>
      <c r="G1156" s="139"/>
      <c r="H1156" s="139"/>
      <c r="I1156" s="139"/>
      <c r="J1156" s="139"/>
      <c r="N1156" s="155"/>
      <c r="S1156" s="155"/>
    </row>
    <row r="1157" spans="5:19">
      <c r="E1157" s="139"/>
      <c r="F1157" s="139"/>
      <c r="G1157" s="139"/>
      <c r="H1157" s="139"/>
      <c r="I1157" s="139"/>
      <c r="J1157" s="139"/>
      <c r="N1157" s="155"/>
      <c r="S1157" s="155"/>
    </row>
    <row r="1158" spans="5:19">
      <c r="E1158" s="139"/>
      <c r="F1158" s="139"/>
      <c r="G1158" s="139"/>
      <c r="H1158" s="139"/>
      <c r="I1158" s="139"/>
      <c r="J1158" s="139"/>
      <c r="N1158" s="155"/>
      <c r="S1158" s="155"/>
    </row>
    <row r="1159" spans="5:19">
      <c r="E1159" s="139"/>
      <c r="F1159" s="139"/>
      <c r="G1159" s="139"/>
      <c r="H1159" s="139"/>
      <c r="I1159" s="139"/>
      <c r="J1159" s="139"/>
      <c r="N1159" s="155"/>
      <c r="S1159" s="155"/>
    </row>
    <row r="1160" spans="5:19">
      <c r="E1160" s="139"/>
      <c r="F1160" s="139"/>
      <c r="G1160" s="139"/>
      <c r="H1160" s="139"/>
      <c r="I1160" s="139"/>
      <c r="J1160" s="139"/>
      <c r="N1160" s="155"/>
      <c r="S1160" s="155"/>
    </row>
    <row r="1161" spans="5:19">
      <c r="E1161" s="139"/>
      <c r="F1161" s="139"/>
      <c r="G1161" s="139"/>
      <c r="H1161" s="139"/>
      <c r="I1161" s="139"/>
      <c r="J1161" s="139"/>
      <c r="N1161" s="155"/>
      <c r="S1161" s="155"/>
    </row>
    <row r="1162" spans="5:19">
      <c r="E1162" s="139"/>
      <c r="F1162" s="139"/>
      <c r="G1162" s="139"/>
      <c r="H1162" s="139"/>
      <c r="I1162" s="139"/>
      <c r="J1162" s="139"/>
      <c r="N1162" s="155"/>
      <c r="S1162" s="155"/>
    </row>
    <row r="1163" spans="5:19">
      <c r="E1163" s="139"/>
      <c r="F1163" s="139"/>
      <c r="G1163" s="139"/>
      <c r="H1163" s="139"/>
      <c r="I1163" s="139"/>
      <c r="J1163" s="139"/>
      <c r="N1163" s="155"/>
      <c r="S1163" s="155"/>
    </row>
    <row r="1164" spans="5:19">
      <c r="E1164" s="139"/>
      <c r="F1164" s="139"/>
      <c r="G1164" s="139"/>
      <c r="H1164" s="139"/>
      <c r="I1164" s="139"/>
      <c r="J1164" s="139"/>
      <c r="N1164" s="155"/>
      <c r="S1164" s="155"/>
    </row>
    <row r="1165" spans="5:19">
      <c r="E1165" s="139"/>
      <c r="F1165" s="139"/>
      <c r="G1165" s="139"/>
      <c r="H1165" s="139"/>
      <c r="I1165" s="139"/>
      <c r="J1165" s="139"/>
      <c r="N1165" s="155"/>
      <c r="S1165" s="155"/>
    </row>
    <row r="1166" spans="5:19">
      <c r="E1166" s="139"/>
      <c r="F1166" s="139"/>
      <c r="G1166" s="139"/>
      <c r="H1166" s="139"/>
      <c r="I1166" s="139"/>
      <c r="J1166" s="139"/>
      <c r="N1166" s="155"/>
      <c r="S1166" s="155"/>
    </row>
    <row r="1167" spans="5:19">
      <c r="E1167" s="139"/>
      <c r="F1167" s="139"/>
      <c r="G1167" s="139"/>
      <c r="H1167" s="139"/>
      <c r="I1167" s="139"/>
      <c r="J1167" s="139"/>
      <c r="N1167" s="155"/>
      <c r="S1167" s="155"/>
    </row>
    <row r="1168" spans="5:19">
      <c r="E1168" s="139"/>
      <c r="F1168" s="139"/>
      <c r="G1168" s="139"/>
      <c r="H1168" s="139"/>
      <c r="I1168" s="139"/>
      <c r="J1168" s="139"/>
      <c r="N1168" s="155"/>
      <c r="S1168" s="155"/>
    </row>
    <row r="1169" spans="5:19">
      <c r="E1169" s="139"/>
      <c r="F1169" s="139"/>
      <c r="G1169" s="139"/>
      <c r="H1169" s="139"/>
      <c r="I1169" s="139"/>
      <c r="J1169" s="139"/>
      <c r="N1169" s="155"/>
      <c r="S1169" s="155"/>
    </row>
    <row r="1170" spans="5:19">
      <c r="E1170" s="139"/>
      <c r="F1170" s="139"/>
      <c r="G1170" s="139"/>
      <c r="H1170" s="139"/>
      <c r="I1170" s="139"/>
      <c r="J1170" s="139"/>
      <c r="N1170" s="155"/>
      <c r="S1170" s="155"/>
    </row>
    <row r="1171" spans="5:19">
      <c r="E1171" s="139"/>
      <c r="F1171" s="139"/>
      <c r="G1171" s="139"/>
      <c r="H1171" s="139"/>
      <c r="I1171" s="139"/>
      <c r="J1171" s="139"/>
      <c r="N1171" s="155"/>
      <c r="S1171" s="155"/>
    </row>
    <row r="1172" spans="5:19">
      <c r="E1172" s="139"/>
      <c r="F1172" s="139"/>
      <c r="G1172" s="139"/>
      <c r="H1172" s="139"/>
      <c r="I1172" s="139"/>
      <c r="J1172" s="139"/>
      <c r="N1172" s="155"/>
      <c r="S1172" s="155"/>
    </row>
    <row r="1173" spans="5:19">
      <c r="E1173" s="139"/>
      <c r="F1173" s="139"/>
      <c r="G1173" s="139"/>
      <c r="H1173" s="139"/>
      <c r="I1173" s="139"/>
      <c r="J1173" s="139"/>
      <c r="N1173" s="155"/>
      <c r="S1173" s="155"/>
    </row>
    <row r="1174" spans="5:19">
      <c r="E1174" s="139"/>
      <c r="F1174" s="139"/>
      <c r="G1174" s="139"/>
      <c r="H1174" s="139"/>
      <c r="I1174" s="139"/>
      <c r="J1174" s="139"/>
      <c r="N1174" s="155"/>
      <c r="S1174" s="155"/>
    </row>
    <row r="1175" spans="5:19">
      <c r="E1175" s="139"/>
      <c r="F1175" s="139"/>
      <c r="G1175" s="139"/>
      <c r="H1175" s="139"/>
      <c r="I1175" s="139"/>
      <c r="J1175" s="139"/>
      <c r="N1175" s="155"/>
      <c r="S1175" s="155"/>
    </row>
    <row r="1176" spans="5:19">
      <c r="E1176" s="139"/>
      <c r="F1176" s="139"/>
      <c r="G1176" s="139"/>
      <c r="H1176" s="139"/>
      <c r="I1176" s="139"/>
      <c r="J1176" s="139"/>
      <c r="N1176" s="155"/>
      <c r="S1176" s="155"/>
    </row>
    <row r="1177" spans="5:19">
      <c r="E1177" s="139"/>
      <c r="F1177" s="139"/>
      <c r="G1177" s="139"/>
      <c r="H1177" s="139"/>
      <c r="I1177" s="139"/>
      <c r="J1177" s="139"/>
      <c r="N1177" s="155"/>
      <c r="S1177" s="155"/>
    </row>
    <row r="1178" spans="5:19">
      <c r="E1178" s="139"/>
      <c r="F1178" s="139"/>
      <c r="G1178" s="139"/>
      <c r="H1178" s="139"/>
      <c r="I1178" s="139"/>
      <c r="J1178" s="139"/>
      <c r="N1178" s="155"/>
      <c r="S1178" s="155"/>
    </row>
    <row r="1179" spans="5:19">
      <c r="E1179" s="139"/>
      <c r="F1179" s="139"/>
      <c r="G1179" s="139"/>
      <c r="H1179" s="139"/>
      <c r="I1179" s="139"/>
      <c r="J1179" s="139"/>
      <c r="N1179" s="155"/>
      <c r="S1179" s="155"/>
    </row>
    <row r="1180" spans="5:19">
      <c r="E1180" s="139"/>
      <c r="F1180" s="139"/>
      <c r="G1180" s="139"/>
      <c r="H1180" s="139"/>
      <c r="I1180" s="139"/>
      <c r="J1180" s="139"/>
      <c r="N1180" s="155"/>
      <c r="S1180" s="155"/>
    </row>
    <row r="1181" spans="5:19">
      <c r="E1181" s="139"/>
      <c r="F1181" s="139"/>
      <c r="G1181" s="139"/>
      <c r="H1181" s="139"/>
      <c r="I1181" s="139"/>
      <c r="J1181" s="139"/>
      <c r="N1181" s="155"/>
      <c r="S1181" s="155"/>
    </row>
    <row r="1182" spans="5:19">
      <c r="E1182" s="139"/>
      <c r="F1182" s="139"/>
      <c r="G1182" s="139"/>
      <c r="H1182" s="139"/>
      <c r="I1182" s="139"/>
      <c r="J1182" s="139"/>
      <c r="N1182" s="155"/>
      <c r="S1182" s="155"/>
    </row>
    <row r="1183" spans="5:19">
      <c r="E1183" s="139"/>
      <c r="F1183" s="139"/>
      <c r="G1183" s="139"/>
      <c r="H1183" s="139"/>
      <c r="I1183" s="139"/>
      <c r="J1183" s="139"/>
      <c r="N1183" s="155"/>
      <c r="S1183" s="155"/>
    </row>
    <row r="1184" spans="5:19">
      <c r="E1184" s="139"/>
      <c r="F1184" s="139"/>
      <c r="G1184" s="139"/>
      <c r="H1184" s="139"/>
      <c r="I1184" s="139"/>
      <c r="J1184" s="139"/>
      <c r="N1184" s="155"/>
      <c r="S1184" s="155"/>
    </row>
    <row r="1185" spans="5:19">
      <c r="E1185" s="139"/>
      <c r="F1185" s="139"/>
      <c r="G1185" s="139"/>
      <c r="H1185" s="139"/>
      <c r="I1185" s="139"/>
      <c r="J1185" s="139"/>
      <c r="N1185" s="155"/>
      <c r="S1185" s="155"/>
    </row>
    <row r="1186" spans="5:19">
      <c r="E1186" s="139"/>
      <c r="F1186" s="139"/>
      <c r="G1186" s="139"/>
      <c r="H1186" s="139"/>
      <c r="I1186" s="139"/>
      <c r="J1186" s="139"/>
      <c r="N1186" s="155"/>
      <c r="S1186" s="155"/>
    </row>
    <row r="1187" spans="5:19">
      <c r="E1187" s="139"/>
      <c r="F1187" s="139"/>
      <c r="G1187" s="139"/>
      <c r="H1187" s="139"/>
      <c r="I1187" s="139"/>
      <c r="J1187" s="139"/>
      <c r="N1187" s="155"/>
      <c r="S1187" s="155"/>
    </row>
    <row r="1188" spans="5:19">
      <c r="E1188" s="139"/>
      <c r="F1188" s="139"/>
      <c r="G1188" s="139"/>
      <c r="H1188" s="139"/>
      <c r="I1188" s="139"/>
      <c r="J1188" s="139"/>
      <c r="N1188" s="155"/>
      <c r="S1188" s="155"/>
    </row>
    <row r="1189" spans="5:19">
      <c r="E1189" s="139"/>
      <c r="F1189" s="139"/>
      <c r="G1189" s="139"/>
      <c r="H1189" s="139"/>
      <c r="I1189" s="139"/>
      <c r="J1189" s="139"/>
      <c r="N1189" s="155"/>
      <c r="S1189" s="155"/>
    </row>
    <row r="1190" spans="5:19">
      <c r="E1190" s="139"/>
      <c r="F1190" s="139"/>
      <c r="G1190" s="139"/>
      <c r="H1190" s="139"/>
      <c r="I1190" s="139"/>
      <c r="J1190" s="139"/>
      <c r="N1190" s="155"/>
      <c r="S1190" s="155"/>
    </row>
    <row r="1191" spans="5:19">
      <c r="E1191" s="139"/>
      <c r="F1191" s="139"/>
      <c r="G1191" s="139"/>
      <c r="H1191" s="139"/>
      <c r="I1191" s="139"/>
      <c r="J1191" s="139"/>
      <c r="N1191" s="155"/>
      <c r="S1191" s="155"/>
    </row>
    <row r="1192" spans="5:19">
      <c r="E1192" s="139"/>
      <c r="F1192" s="139"/>
      <c r="G1192" s="139"/>
      <c r="H1192" s="139"/>
      <c r="I1192" s="139"/>
      <c r="J1192" s="139"/>
      <c r="N1192" s="155"/>
      <c r="S1192" s="155"/>
    </row>
    <row r="1193" spans="5:19">
      <c r="E1193" s="139"/>
      <c r="F1193" s="139"/>
      <c r="G1193" s="139"/>
      <c r="H1193" s="139"/>
      <c r="I1193" s="139"/>
      <c r="J1193" s="139"/>
      <c r="N1193" s="155"/>
      <c r="S1193" s="155"/>
    </row>
    <row r="1194" spans="5:19">
      <c r="E1194" s="139"/>
      <c r="F1194" s="139"/>
      <c r="G1194" s="139"/>
      <c r="H1194" s="139"/>
      <c r="I1194" s="139"/>
      <c r="J1194" s="139"/>
      <c r="N1194" s="155"/>
      <c r="S1194" s="155"/>
    </row>
    <row r="1195" spans="5:19">
      <c r="E1195" s="139"/>
      <c r="F1195" s="139"/>
      <c r="G1195" s="139"/>
      <c r="H1195" s="139"/>
      <c r="I1195" s="139"/>
      <c r="J1195" s="139"/>
      <c r="N1195" s="155"/>
      <c r="S1195" s="155"/>
    </row>
    <row r="1196" spans="5:19">
      <c r="E1196" s="139"/>
      <c r="F1196" s="139"/>
      <c r="G1196" s="139"/>
      <c r="H1196" s="139"/>
      <c r="I1196" s="139"/>
      <c r="J1196" s="139"/>
      <c r="N1196" s="155"/>
      <c r="S1196" s="155"/>
    </row>
    <row r="1197" spans="5:19">
      <c r="E1197" s="139"/>
      <c r="F1197" s="139"/>
      <c r="G1197" s="139"/>
      <c r="H1197" s="139"/>
      <c r="I1197" s="139"/>
      <c r="J1197" s="139"/>
      <c r="N1197" s="155"/>
      <c r="S1197" s="155"/>
    </row>
    <row r="1198" spans="5:19">
      <c r="E1198" s="139"/>
      <c r="F1198" s="139"/>
      <c r="G1198" s="139"/>
      <c r="H1198" s="139"/>
      <c r="I1198" s="139"/>
      <c r="J1198" s="139"/>
      <c r="N1198" s="155"/>
      <c r="S1198" s="155"/>
    </row>
    <row r="1199" spans="5:19">
      <c r="E1199" s="139"/>
      <c r="F1199" s="139"/>
      <c r="G1199" s="139"/>
      <c r="H1199" s="139"/>
      <c r="I1199" s="139"/>
      <c r="J1199" s="139"/>
      <c r="N1199" s="155"/>
      <c r="S1199" s="155"/>
    </row>
    <row r="1200" spans="5:19">
      <c r="E1200" s="139"/>
      <c r="F1200" s="139"/>
      <c r="G1200" s="139"/>
      <c r="H1200" s="139"/>
      <c r="I1200" s="139"/>
      <c r="J1200" s="139"/>
      <c r="N1200" s="155"/>
      <c r="S1200" s="155"/>
    </row>
    <row r="1201" spans="5:19">
      <c r="E1201" s="139"/>
      <c r="F1201" s="139"/>
      <c r="G1201" s="139"/>
      <c r="H1201" s="139"/>
      <c r="I1201" s="139"/>
      <c r="J1201" s="139"/>
      <c r="N1201" s="155"/>
      <c r="S1201" s="155"/>
    </row>
    <row r="1202" spans="5:19">
      <c r="E1202" s="139"/>
      <c r="F1202" s="139"/>
      <c r="G1202" s="139"/>
      <c r="H1202" s="139"/>
      <c r="I1202" s="139"/>
      <c r="J1202" s="139"/>
      <c r="N1202" s="155"/>
      <c r="S1202" s="155"/>
    </row>
    <row r="1203" spans="5:19">
      <c r="E1203" s="139"/>
      <c r="F1203" s="139"/>
      <c r="G1203" s="139"/>
      <c r="H1203" s="139"/>
      <c r="I1203" s="139"/>
      <c r="J1203" s="139"/>
      <c r="N1203" s="155"/>
      <c r="S1203" s="155"/>
    </row>
    <row r="1204" spans="5:19">
      <c r="E1204" s="139"/>
      <c r="F1204" s="139"/>
      <c r="G1204" s="139"/>
      <c r="H1204" s="139"/>
      <c r="I1204" s="139"/>
      <c r="J1204" s="139"/>
      <c r="N1204" s="155"/>
      <c r="S1204" s="155"/>
    </row>
    <row r="1205" spans="5:19">
      <c r="E1205" s="139"/>
      <c r="F1205" s="139"/>
      <c r="G1205" s="139"/>
      <c r="H1205" s="139"/>
      <c r="I1205" s="139"/>
      <c r="J1205" s="139"/>
      <c r="N1205" s="155"/>
      <c r="S1205" s="155"/>
    </row>
    <row r="1206" spans="5:19">
      <c r="E1206" s="139"/>
      <c r="F1206" s="139"/>
      <c r="G1206" s="139"/>
      <c r="H1206" s="139"/>
      <c r="I1206" s="139"/>
      <c r="J1206" s="139"/>
      <c r="N1206" s="155"/>
      <c r="S1206" s="155"/>
    </row>
    <row r="1207" spans="5:19">
      <c r="E1207" s="139"/>
      <c r="F1207" s="139"/>
      <c r="G1207" s="139"/>
      <c r="H1207" s="139"/>
      <c r="I1207" s="139"/>
      <c r="J1207" s="139"/>
      <c r="N1207" s="155"/>
      <c r="S1207" s="155"/>
    </row>
    <row r="1208" spans="5:19">
      <c r="E1208" s="139"/>
      <c r="F1208" s="139"/>
      <c r="G1208" s="139"/>
      <c r="H1208" s="139"/>
      <c r="I1208" s="139"/>
      <c r="J1208" s="139"/>
      <c r="N1208" s="155"/>
      <c r="S1208" s="155"/>
    </row>
    <row r="1209" spans="5:19">
      <c r="E1209" s="139"/>
      <c r="F1209" s="139"/>
      <c r="G1209" s="139"/>
      <c r="H1209" s="139"/>
      <c r="I1209" s="139"/>
      <c r="J1209" s="139"/>
      <c r="N1209" s="155"/>
      <c r="S1209" s="155"/>
    </row>
    <row r="1210" spans="5:19">
      <c r="E1210" s="139"/>
      <c r="F1210" s="139"/>
      <c r="G1210" s="139"/>
      <c r="H1210" s="139"/>
      <c r="I1210" s="139"/>
      <c r="J1210" s="139"/>
      <c r="N1210" s="155"/>
      <c r="S1210" s="155"/>
    </row>
    <row r="1211" spans="5:19">
      <c r="E1211" s="139"/>
      <c r="F1211" s="139"/>
      <c r="G1211" s="139"/>
      <c r="H1211" s="139"/>
      <c r="I1211" s="139"/>
      <c r="J1211" s="139"/>
      <c r="N1211" s="155"/>
      <c r="S1211" s="155"/>
    </row>
    <row r="1212" spans="5:19">
      <c r="E1212" s="139"/>
      <c r="F1212" s="139"/>
      <c r="G1212" s="139"/>
      <c r="H1212" s="139"/>
      <c r="I1212" s="139"/>
      <c r="J1212" s="139"/>
      <c r="N1212" s="155"/>
      <c r="S1212" s="155"/>
    </row>
    <row r="1213" spans="5:19">
      <c r="E1213" s="139"/>
      <c r="F1213" s="139"/>
      <c r="G1213" s="139"/>
      <c r="H1213" s="139"/>
      <c r="I1213" s="139"/>
      <c r="J1213" s="139"/>
      <c r="N1213" s="155"/>
      <c r="S1213" s="155"/>
    </row>
    <row r="1214" spans="5:19">
      <c r="E1214" s="139"/>
      <c r="F1214" s="139"/>
      <c r="G1214" s="139"/>
      <c r="H1214" s="139"/>
      <c r="I1214" s="139"/>
      <c r="J1214" s="139"/>
      <c r="N1214" s="155"/>
      <c r="S1214" s="155"/>
    </row>
    <row r="1215" spans="5:19">
      <c r="E1215" s="139"/>
      <c r="F1215" s="139"/>
      <c r="G1215" s="139"/>
      <c r="H1215" s="139"/>
      <c r="I1215" s="139"/>
      <c r="J1215" s="139"/>
      <c r="N1215" s="155"/>
      <c r="S1215" s="155"/>
    </row>
    <row r="1216" spans="5:19">
      <c r="E1216" s="139"/>
      <c r="F1216" s="139"/>
      <c r="G1216" s="139"/>
      <c r="H1216" s="139"/>
      <c r="I1216" s="139"/>
      <c r="J1216" s="139"/>
      <c r="N1216" s="155"/>
      <c r="S1216" s="155"/>
    </row>
    <row r="1217" spans="5:19">
      <c r="E1217" s="139"/>
      <c r="F1217" s="139"/>
      <c r="G1217" s="139"/>
      <c r="H1217" s="139"/>
      <c r="I1217" s="139"/>
      <c r="J1217" s="139"/>
      <c r="N1217" s="155"/>
      <c r="S1217" s="155"/>
    </row>
    <row r="1218" spans="5:19">
      <c r="E1218" s="139"/>
      <c r="F1218" s="139"/>
      <c r="G1218" s="139"/>
      <c r="H1218" s="139"/>
      <c r="I1218" s="139"/>
      <c r="J1218" s="139"/>
      <c r="N1218" s="155"/>
      <c r="S1218" s="155"/>
    </row>
    <row r="1219" spans="5:19">
      <c r="E1219" s="139"/>
      <c r="F1219" s="139"/>
      <c r="G1219" s="139"/>
      <c r="H1219" s="139"/>
      <c r="I1219" s="139"/>
      <c r="J1219" s="139"/>
      <c r="N1219" s="155"/>
      <c r="S1219" s="155"/>
    </row>
    <row r="1220" spans="5:19">
      <c r="E1220" s="139"/>
      <c r="F1220" s="139"/>
      <c r="G1220" s="139"/>
      <c r="H1220" s="139"/>
      <c r="I1220" s="139"/>
      <c r="J1220" s="139"/>
      <c r="N1220" s="155"/>
      <c r="S1220" s="155"/>
    </row>
    <row r="1221" spans="5:19">
      <c r="E1221" s="139"/>
      <c r="F1221" s="139"/>
      <c r="G1221" s="139"/>
      <c r="H1221" s="139"/>
      <c r="I1221" s="139"/>
      <c r="J1221" s="139"/>
      <c r="N1221" s="155"/>
      <c r="S1221" s="155"/>
    </row>
    <row r="1222" spans="5:19">
      <c r="E1222" s="139"/>
      <c r="F1222" s="139"/>
      <c r="G1222" s="139"/>
      <c r="H1222" s="139"/>
      <c r="I1222" s="139"/>
      <c r="J1222" s="139"/>
      <c r="N1222" s="155"/>
      <c r="S1222" s="155"/>
    </row>
    <row r="1223" spans="5:19">
      <c r="E1223" s="139"/>
      <c r="F1223" s="139"/>
      <c r="G1223" s="139"/>
      <c r="H1223" s="139"/>
      <c r="I1223" s="139"/>
      <c r="J1223" s="139"/>
      <c r="N1223" s="155"/>
      <c r="S1223" s="155"/>
    </row>
    <row r="1224" spans="5:19">
      <c r="E1224" s="139"/>
      <c r="F1224" s="139"/>
      <c r="G1224" s="139"/>
      <c r="H1224" s="139"/>
      <c r="I1224" s="139"/>
      <c r="J1224" s="139"/>
      <c r="N1224" s="155"/>
      <c r="S1224" s="155"/>
    </row>
    <row r="1225" spans="5:19">
      <c r="E1225" s="139"/>
      <c r="F1225" s="139"/>
      <c r="G1225" s="139"/>
      <c r="H1225" s="139"/>
      <c r="I1225" s="139"/>
      <c r="J1225" s="139"/>
      <c r="N1225" s="155"/>
      <c r="S1225" s="155"/>
    </row>
    <row r="1226" spans="5:19">
      <c r="E1226" s="139"/>
      <c r="F1226" s="139"/>
      <c r="G1226" s="139"/>
      <c r="H1226" s="139"/>
      <c r="I1226" s="139"/>
      <c r="J1226" s="139"/>
      <c r="N1226" s="155"/>
      <c r="S1226" s="155"/>
    </row>
    <row r="1227" spans="5:19">
      <c r="E1227" s="139"/>
      <c r="F1227" s="139"/>
      <c r="G1227" s="139"/>
      <c r="H1227" s="139"/>
      <c r="I1227" s="139"/>
      <c r="J1227" s="139"/>
      <c r="N1227" s="155"/>
      <c r="S1227" s="155"/>
    </row>
    <row r="1228" spans="5:19">
      <c r="E1228" s="139"/>
      <c r="F1228" s="139"/>
      <c r="G1228" s="139"/>
      <c r="H1228" s="139"/>
      <c r="I1228" s="139"/>
      <c r="J1228" s="139"/>
      <c r="N1228" s="155"/>
      <c r="S1228" s="155"/>
    </row>
    <row r="1229" spans="5:19">
      <c r="E1229" s="139"/>
      <c r="F1229" s="139"/>
      <c r="G1229" s="139"/>
      <c r="H1229" s="139"/>
      <c r="I1229" s="139"/>
      <c r="J1229" s="139"/>
      <c r="N1229" s="155"/>
      <c r="S1229" s="155"/>
    </row>
    <row r="1230" spans="5:19">
      <c r="E1230" s="139"/>
      <c r="F1230" s="139"/>
      <c r="G1230" s="139"/>
      <c r="H1230" s="139"/>
      <c r="I1230" s="139"/>
      <c r="J1230" s="139"/>
      <c r="N1230" s="155"/>
      <c r="S1230" s="155"/>
    </row>
    <row r="1231" spans="5:19">
      <c r="E1231" s="139"/>
      <c r="F1231" s="139"/>
      <c r="G1231" s="139"/>
      <c r="H1231" s="139"/>
      <c r="I1231" s="139"/>
      <c r="J1231" s="139"/>
      <c r="N1231" s="155"/>
      <c r="S1231" s="155"/>
    </row>
    <row r="1232" spans="5:19">
      <c r="E1232" s="139"/>
      <c r="F1232" s="139"/>
      <c r="G1232" s="139"/>
      <c r="H1232" s="139"/>
      <c r="I1232" s="139"/>
      <c r="J1232" s="139"/>
      <c r="N1232" s="155"/>
      <c r="S1232" s="155"/>
    </row>
    <row r="1233" spans="5:19">
      <c r="E1233" s="139"/>
      <c r="F1233" s="139"/>
      <c r="G1233" s="139"/>
      <c r="H1233" s="139"/>
      <c r="I1233" s="139"/>
      <c r="J1233" s="139"/>
      <c r="N1233" s="155"/>
      <c r="S1233" s="155"/>
    </row>
    <row r="1234" spans="5:19">
      <c r="E1234" s="139"/>
      <c r="F1234" s="139"/>
      <c r="G1234" s="139"/>
      <c r="H1234" s="139"/>
      <c r="I1234" s="139"/>
      <c r="J1234" s="139"/>
      <c r="N1234" s="155"/>
      <c r="S1234" s="155"/>
    </row>
    <row r="1235" spans="5:19">
      <c r="E1235" s="139"/>
      <c r="F1235" s="139"/>
      <c r="G1235" s="139"/>
      <c r="H1235" s="139"/>
      <c r="I1235" s="139"/>
      <c r="J1235" s="139"/>
      <c r="N1235" s="155"/>
      <c r="S1235" s="155"/>
    </row>
    <row r="1236" spans="5:19">
      <c r="E1236" s="139"/>
      <c r="F1236" s="139"/>
      <c r="G1236" s="139"/>
      <c r="H1236" s="139"/>
      <c r="I1236" s="139"/>
      <c r="J1236" s="139"/>
      <c r="N1236" s="155"/>
      <c r="S1236" s="155"/>
    </row>
    <row r="1237" spans="5:19">
      <c r="E1237" s="139"/>
      <c r="F1237" s="139"/>
      <c r="G1237" s="139"/>
      <c r="H1237" s="139"/>
      <c r="I1237" s="139"/>
      <c r="J1237" s="139"/>
      <c r="N1237" s="155"/>
      <c r="S1237" s="155"/>
    </row>
    <row r="1238" spans="5:19">
      <c r="E1238" s="139"/>
      <c r="F1238" s="139"/>
      <c r="G1238" s="139"/>
      <c r="H1238" s="139"/>
      <c r="I1238" s="139"/>
      <c r="J1238" s="139"/>
      <c r="N1238" s="155"/>
      <c r="S1238" s="155"/>
    </row>
    <row r="1239" spans="5:19">
      <c r="E1239" s="139"/>
      <c r="F1239" s="139"/>
      <c r="G1239" s="139"/>
      <c r="H1239" s="139"/>
      <c r="I1239" s="139"/>
      <c r="J1239" s="139"/>
      <c r="N1239" s="155"/>
      <c r="S1239" s="155"/>
    </row>
    <row r="1240" spans="5:19">
      <c r="E1240" s="139"/>
      <c r="F1240" s="139"/>
      <c r="G1240" s="139"/>
      <c r="H1240" s="139"/>
      <c r="I1240" s="139"/>
      <c r="J1240" s="139"/>
      <c r="N1240" s="155"/>
      <c r="S1240" s="155"/>
    </row>
    <row r="1241" spans="5:19">
      <c r="E1241" s="139"/>
      <c r="F1241" s="139"/>
      <c r="G1241" s="139"/>
      <c r="H1241" s="139"/>
      <c r="I1241" s="139"/>
      <c r="J1241" s="139"/>
      <c r="N1241" s="155"/>
      <c r="S1241" s="155"/>
    </row>
    <row r="1242" spans="5:19">
      <c r="E1242" s="139"/>
      <c r="F1242" s="139"/>
      <c r="G1242" s="139"/>
      <c r="H1242" s="139"/>
      <c r="I1242" s="139"/>
      <c r="J1242" s="139"/>
      <c r="N1242" s="155"/>
      <c r="S1242" s="155"/>
    </row>
    <row r="1243" spans="5:19">
      <c r="E1243" s="139"/>
      <c r="F1243" s="139"/>
      <c r="G1243" s="139"/>
      <c r="H1243" s="139"/>
      <c r="I1243" s="139"/>
      <c r="J1243" s="139"/>
      <c r="N1243" s="155"/>
      <c r="S1243" s="155"/>
    </row>
    <row r="1244" spans="5:19">
      <c r="E1244" s="139"/>
      <c r="F1244" s="139"/>
      <c r="G1244" s="139"/>
      <c r="H1244" s="139"/>
      <c r="I1244" s="139"/>
      <c r="J1244" s="139"/>
      <c r="N1244" s="155"/>
      <c r="S1244" s="155"/>
    </row>
    <row r="1245" spans="5:19">
      <c r="E1245" s="139"/>
      <c r="F1245" s="139"/>
      <c r="G1245" s="139"/>
      <c r="H1245" s="139"/>
      <c r="I1245" s="139"/>
      <c r="J1245" s="139"/>
      <c r="N1245" s="155"/>
      <c r="S1245" s="155"/>
    </row>
    <row r="1246" spans="5:19">
      <c r="E1246" s="139"/>
      <c r="F1246" s="139"/>
      <c r="G1246" s="139"/>
      <c r="H1246" s="139"/>
      <c r="I1246" s="139"/>
      <c r="J1246" s="139"/>
      <c r="N1246" s="155"/>
      <c r="S1246" s="155"/>
    </row>
    <row r="1247" spans="5:19">
      <c r="E1247" s="139"/>
      <c r="F1247" s="139"/>
      <c r="G1247" s="139"/>
      <c r="H1247" s="139"/>
      <c r="I1247" s="139"/>
      <c r="J1247" s="139"/>
      <c r="N1247" s="155"/>
      <c r="S1247" s="155"/>
    </row>
    <row r="1248" spans="5:19">
      <c r="E1248" s="139"/>
      <c r="F1248" s="139"/>
      <c r="G1248" s="139"/>
      <c r="H1248" s="139"/>
      <c r="I1248" s="139"/>
      <c r="J1248" s="139"/>
      <c r="N1248" s="155"/>
      <c r="S1248" s="155"/>
    </row>
    <row r="1249" spans="5:19">
      <c r="E1249" s="139"/>
      <c r="F1249" s="139"/>
      <c r="G1249" s="139"/>
      <c r="H1249" s="139"/>
      <c r="I1249" s="139"/>
      <c r="J1249" s="139"/>
      <c r="N1249" s="155"/>
      <c r="S1249" s="155"/>
    </row>
    <row r="1250" spans="5:19">
      <c r="E1250" s="139"/>
      <c r="F1250" s="139"/>
      <c r="G1250" s="139"/>
      <c r="H1250" s="139"/>
      <c r="I1250" s="139"/>
      <c r="J1250" s="139"/>
      <c r="N1250" s="155"/>
      <c r="S1250" s="155"/>
    </row>
    <row r="1251" spans="5:19">
      <c r="E1251" s="139"/>
      <c r="F1251" s="139"/>
      <c r="G1251" s="139"/>
      <c r="H1251" s="139"/>
      <c r="I1251" s="139"/>
      <c r="J1251" s="139"/>
      <c r="N1251" s="155"/>
      <c r="S1251" s="155"/>
    </row>
    <row r="1252" spans="5:19">
      <c r="E1252" s="139"/>
      <c r="F1252" s="139"/>
      <c r="G1252" s="139"/>
      <c r="H1252" s="139"/>
      <c r="I1252" s="139"/>
      <c r="J1252" s="139"/>
      <c r="N1252" s="155"/>
      <c r="S1252" s="155"/>
    </row>
    <row r="1253" spans="5:19">
      <c r="E1253" s="139"/>
      <c r="F1253" s="139"/>
      <c r="G1253" s="139"/>
      <c r="H1253" s="139"/>
      <c r="I1253" s="139"/>
      <c r="J1253" s="139"/>
      <c r="N1253" s="155"/>
      <c r="S1253" s="155"/>
    </row>
    <row r="1254" spans="5:19">
      <c r="E1254" s="139"/>
      <c r="F1254" s="139"/>
      <c r="G1254" s="139"/>
      <c r="H1254" s="139"/>
      <c r="I1254" s="139"/>
      <c r="J1254" s="139"/>
      <c r="N1254" s="155"/>
      <c r="S1254" s="155"/>
    </row>
    <row r="1255" spans="5:19">
      <c r="E1255" s="139"/>
      <c r="F1255" s="139"/>
      <c r="G1255" s="139"/>
      <c r="H1255" s="139"/>
      <c r="I1255" s="139"/>
      <c r="J1255" s="139"/>
      <c r="N1255" s="155"/>
      <c r="S1255" s="155"/>
    </row>
    <row r="1256" spans="5:19">
      <c r="E1256" s="139"/>
      <c r="F1256" s="139"/>
      <c r="G1256" s="139"/>
      <c r="H1256" s="139"/>
      <c r="I1256" s="139"/>
      <c r="J1256" s="139"/>
      <c r="N1256" s="155"/>
      <c r="S1256" s="155"/>
    </row>
    <row r="1257" spans="5:19">
      <c r="E1257" s="139"/>
      <c r="F1257" s="139"/>
      <c r="G1257" s="139"/>
      <c r="H1257" s="139"/>
      <c r="I1257" s="139"/>
      <c r="J1257" s="139"/>
      <c r="N1257" s="155"/>
      <c r="S1257" s="155"/>
    </row>
    <row r="1258" spans="5:19">
      <c r="E1258" s="139"/>
      <c r="F1258" s="139"/>
      <c r="G1258" s="139"/>
      <c r="H1258" s="139"/>
      <c r="I1258" s="139"/>
      <c r="J1258" s="139"/>
      <c r="N1258" s="155"/>
      <c r="S1258" s="155"/>
    </row>
    <row r="1259" spans="5:19">
      <c r="E1259" s="139"/>
      <c r="F1259" s="139"/>
      <c r="G1259" s="139"/>
      <c r="H1259" s="139"/>
      <c r="I1259" s="139"/>
      <c r="J1259" s="139"/>
      <c r="N1259" s="155"/>
      <c r="S1259" s="155"/>
    </row>
    <row r="1260" spans="5:19">
      <c r="E1260" s="139"/>
      <c r="F1260" s="139"/>
      <c r="G1260" s="139"/>
      <c r="H1260" s="139"/>
      <c r="I1260" s="139"/>
      <c r="J1260" s="139"/>
      <c r="N1260" s="155"/>
      <c r="S1260" s="155"/>
    </row>
    <row r="1261" spans="5:19">
      <c r="E1261" s="139"/>
      <c r="F1261" s="139"/>
      <c r="G1261" s="139"/>
      <c r="H1261" s="139"/>
      <c r="I1261" s="139"/>
      <c r="J1261" s="139"/>
      <c r="N1261" s="155"/>
      <c r="S1261" s="155"/>
    </row>
    <row r="1262" spans="5:19">
      <c r="E1262" s="139"/>
      <c r="F1262" s="139"/>
      <c r="G1262" s="139"/>
      <c r="H1262" s="139"/>
      <c r="I1262" s="139"/>
      <c r="J1262" s="139"/>
      <c r="N1262" s="155"/>
      <c r="S1262" s="155"/>
    </row>
    <row r="1263" spans="5:19">
      <c r="E1263" s="139"/>
      <c r="F1263" s="139"/>
      <c r="G1263" s="139"/>
      <c r="H1263" s="139"/>
      <c r="I1263" s="139"/>
      <c r="J1263" s="139"/>
      <c r="N1263" s="155"/>
      <c r="S1263" s="155"/>
    </row>
    <row r="1264" spans="5:19">
      <c r="E1264" s="139"/>
      <c r="F1264" s="139"/>
      <c r="G1264" s="139"/>
      <c r="H1264" s="139"/>
      <c r="I1264" s="139"/>
      <c r="J1264" s="139"/>
      <c r="N1264" s="155"/>
      <c r="S1264" s="155"/>
    </row>
    <row r="1265" spans="5:19">
      <c r="E1265" s="139"/>
      <c r="F1265" s="139"/>
      <c r="G1265" s="139"/>
      <c r="H1265" s="139"/>
      <c r="I1265" s="139"/>
      <c r="J1265" s="139"/>
      <c r="N1265" s="155"/>
      <c r="S1265" s="155"/>
    </row>
    <row r="1266" spans="5:19">
      <c r="E1266" s="139"/>
      <c r="F1266" s="139"/>
      <c r="G1266" s="139"/>
      <c r="H1266" s="139"/>
      <c r="I1266" s="139"/>
      <c r="J1266" s="139"/>
      <c r="N1266" s="155"/>
      <c r="S1266" s="155"/>
    </row>
    <row r="1267" spans="5:19">
      <c r="E1267" s="139"/>
      <c r="F1267" s="139"/>
      <c r="G1267" s="139"/>
      <c r="H1267" s="139"/>
      <c r="I1267" s="139"/>
      <c r="J1267" s="139"/>
      <c r="N1267" s="155"/>
      <c r="S1267" s="155"/>
    </row>
    <row r="1268" spans="5:19">
      <c r="E1268" s="139"/>
      <c r="F1268" s="139"/>
      <c r="G1268" s="139"/>
      <c r="H1268" s="139"/>
      <c r="I1268" s="139"/>
      <c r="J1268" s="139"/>
      <c r="N1268" s="155"/>
      <c r="S1268" s="155"/>
    </row>
    <row r="1269" spans="5:19">
      <c r="E1269" s="139"/>
      <c r="F1269" s="139"/>
      <c r="G1269" s="139"/>
      <c r="H1269" s="139"/>
      <c r="I1269" s="139"/>
      <c r="J1269" s="139"/>
      <c r="N1269" s="155"/>
      <c r="S1269" s="155"/>
    </row>
    <row r="1270" spans="5:19">
      <c r="E1270" s="139"/>
      <c r="F1270" s="139"/>
      <c r="G1270" s="139"/>
      <c r="H1270" s="139"/>
      <c r="I1270" s="139"/>
      <c r="J1270" s="139"/>
      <c r="N1270" s="155"/>
      <c r="S1270" s="155"/>
    </row>
    <row r="1271" spans="5:19">
      <c r="E1271" s="139"/>
      <c r="F1271" s="139"/>
      <c r="G1271" s="139"/>
      <c r="H1271" s="139"/>
      <c r="I1271" s="139"/>
      <c r="J1271" s="139"/>
      <c r="N1271" s="155"/>
      <c r="S1271" s="155"/>
    </row>
    <row r="1272" spans="5:19">
      <c r="E1272" s="139"/>
      <c r="F1272" s="139"/>
      <c r="G1272" s="139"/>
      <c r="H1272" s="139"/>
      <c r="I1272" s="139"/>
      <c r="J1272" s="139"/>
      <c r="N1272" s="155"/>
      <c r="S1272" s="155"/>
    </row>
    <row r="1273" spans="5:19">
      <c r="E1273" s="139"/>
      <c r="F1273" s="139"/>
      <c r="G1273" s="139"/>
      <c r="H1273" s="139"/>
      <c r="I1273" s="139"/>
      <c r="J1273" s="139"/>
      <c r="N1273" s="155"/>
      <c r="S1273" s="155"/>
    </row>
    <row r="1274" spans="5:19">
      <c r="E1274" s="139"/>
      <c r="F1274" s="139"/>
      <c r="G1274" s="139"/>
      <c r="H1274" s="139"/>
      <c r="I1274" s="139"/>
      <c r="J1274" s="139"/>
      <c r="N1274" s="155"/>
      <c r="S1274" s="155"/>
    </row>
    <row r="1275" spans="5:19">
      <c r="E1275" s="139"/>
      <c r="F1275" s="139"/>
      <c r="G1275" s="139"/>
      <c r="H1275" s="139"/>
      <c r="I1275" s="139"/>
      <c r="J1275" s="139"/>
      <c r="N1275" s="155"/>
      <c r="S1275" s="155"/>
    </row>
    <row r="1276" spans="5:19">
      <c r="E1276" s="139"/>
      <c r="F1276" s="139"/>
      <c r="G1276" s="139"/>
      <c r="H1276" s="139"/>
      <c r="I1276" s="139"/>
      <c r="J1276" s="139"/>
      <c r="N1276" s="155"/>
      <c r="S1276" s="155"/>
    </row>
    <row r="1277" spans="5:19">
      <c r="E1277" s="139"/>
      <c r="F1277" s="139"/>
      <c r="G1277" s="139"/>
      <c r="H1277" s="139"/>
      <c r="I1277" s="139"/>
      <c r="J1277" s="139"/>
      <c r="N1277" s="155"/>
      <c r="S1277" s="155"/>
    </row>
    <row r="1278" spans="5:19">
      <c r="E1278" s="139"/>
      <c r="F1278" s="139"/>
      <c r="G1278" s="139"/>
      <c r="H1278" s="139"/>
      <c r="I1278" s="139"/>
      <c r="J1278" s="139"/>
      <c r="N1278" s="155"/>
      <c r="S1278" s="155"/>
    </row>
    <row r="1279" spans="5:19">
      <c r="E1279" s="139"/>
      <c r="F1279" s="139"/>
      <c r="G1279" s="139"/>
      <c r="H1279" s="139"/>
      <c r="I1279" s="139"/>
      <c r="J1279" s="139"/>
      <c r="N1279" s="155"/>
      <c r="S1279" s="155"/>
    </row>
    <row r="1280" spans="5:19">
      <c r="E1280" s="139"/>
      <c r="F1280" s="139"/>
      <c r="G1280" s="139"/>
      <c r="H1280" s="139"/>
      <c r="I1280" s="139"/>
      <c r="J1280" s="139"/>
      <c r="N1280" s="155"/>
      <c r="S1280" s="155"/>
    </row>
    <row r="1281" spans="5:19">
      <c r="E1281" s="139"/>
      <c r="F1281" s="139"/>
      <c r="G1281" s="139"/>
      <c r="H1281" s="139"/>
      <c r="I1281" s="139"/>
      <c r="J1281" s="139"/>
      <c r="N1281" s="155"/>
      <c r="S1281" s="155"/>
    </row>
    <row r="1282" spans="5:19">
      <c r="E1282" s="139"/>
      <c r="F1282" s="139"/>
      <c r="G1282" s="139"/>
      <c r="H1282" s="139"/>
      <c r="I1282" s="139"/>
      <c r="J1282" s="139"/>
      <c r="N1282" s="155"/>
      <c r="S1282" s="155"/>
    </row>
    <row r="1283" spans="5:19">
      <c r="E1283" s="139"/>
      <c r="F1283" s="139"/>
      <c r="G1283" s="139"/>
      <c r="H1283" s="139"/>
      <c r="I1283" s="139"/>
      <c r="J1283" s="139"/>
      <c r="N1283" s="155"/>
      <c r="S1283" s="155"/>
    </row>
    <row r="1284" spans="5:19">
      <c r="E1284" s="139"/>
      <c r="F1284" s="139"/>
      <c r="G1284" s="139"/>
      <c r="H1284" s="139"/>
      <c r="I1284" s="139"/>
      <c r="J1284" s="139"/>
      <c r="N1284" s="155"/>
      <c r="S1284" s="155"/>
    </row>
    <row r="1285" spans="5:19">
      <c r="E1285" s="139"/>
      <c r="F1285" s="139"/>
      <c r="G1285" s="139"/>
      <c r="H1285" s="139"/>
      <c r="I1285" s="139"/>
      <c r="J1285" s="139"/>
      <c r="N1285" s="155"/>
      <c r="S1285" s="155"/>
    </row>
    <row r="1286" spans="5:19">
      <c r="E1286" s="139"/>
      <c r="F1286" s="139"/>
      <c r="G1286" s="139"/>
      <c r="H1286" s="139"/>
      <c r="I1286" s="139"/>
      <c r="J1286" s="139"/>
      <c r="N1286" s="155"/>
      <c r="S1286" s="155"/>
    </row>
    <row r="1287" spans="5:19">
      <c r="E1287" s="139"/>
      <c r="F1287" s="139"/>
      <c r="G1287" s="139"/>
      <c r="H1287" s="139"/>
      <c r="I1287" s="139"/>
      <c r="J1287" s="139"/>
      <c r="N1287" s="155"/>
      <c r="S1287" s="155"/>
    </row>
    <row r="1288" spans="5:19">
      <c r="E1288" s="139"/>
      <c r="F1288" s="139"/>
      <c r="G1288" s="139"/>
      <c r="H1288" s="139"/>
      <c r="I1288" s="139"/>
      <c r="J1288" s="139"/>
      <c r="N1288" s="155"/>
      <c r="S1288" s="155"/>
    </row>
    <row r="1289" spans="5:19">
      <c r="E1289" s="139"/>
      <c r="F1289" s="139"/>
      <c r="G1289" s="139"/>
      <c r="H1289" s="139"/>
      <c r="I1289" s="139"/>
      <c r="J1289" s="139"/>
      <c r="N1289" s="155"/>
      <c r="S1289" s="155"/>
    </row>
    <row r="1290" spans="5:19">
      <c r="E1290" s="139"/>
      <c r="F1290" s="139"/>
      <c r="G1290" s="139"/>
      <c r="H1290" s="139"/>
      <c r="I1290" s="139"/>
      <c r="J1290" s="139"/>
      <c r="N1290" s="155"/>
      <c r="S1290" s="155"/>
    </row>
    <row r="1291" spans="5:19">
      <c r="E1291" s="139"/>
      <c r="F1291" s="139"/>
      <c r="G1291" s="139"/>
      <c r="H1291" s="139"/>
      <c r="I1291" s="139"/>
      <c r="J1291" s="139"/>
      <c r="N1291" s="155"/>
      <c r="S1291" s="155"/>
    </row>
    <row r="1292" spans="5:19">
      <c r="E1292" s="139"/>
      <c r="F1292" s="139"/>
      <c r="G1292" s="139"/>
      <c r="H1292" s="139"/>
      <c r="I1292" s="139"/>
      <c r="J1292" s="139"/>
      <c r="N1292" s="155"/>
      <c r="S1292" s="155"/>
    </row>
    <row r="1293" spans="5:19">
      <c r="E1293" s="139"/>
      <c r="F1293" s="139"/>
      <c r="G1293" s="139"/>
      <c r="H1293" s="139"/>
      <c r="I1293" s="139"/>
      <c r="J1293" s="139"/>
      <c r="N1293" s="155"/>
      <c r="S1293" s="155"/>
    </row>
    <row r="1294" spans="5:19">
      <c r="E1294" s="139"/>
      <c r="F1294" s="139"/>
      <c r="G1294" s="139"/>
      <c r="H1294" s="139"/>
      <c r="I1294" s="139"/>
      <c r="J1294" s="139"/>
      <c r="N1294" s="155"/>
      <c r="S1294" s="155"/>
    </row>
    <row r="1295" spans="5:19">
      <c r="E1295" s="139"/>
      <c r="F1295" s="139"/>
      <c r="G1295" s="139"/>
      <c r="H1295" s="139"/>
      <c r="I1295" s="139"/>
      <c r="J1295" s="139"/>
      <c r="N1295" s="155"/>
      <c r="S1295" s="155"/>
    </row>
    <row r="1296" spans="5:19">
      <c r="E1296" s="139"/>
      <c r="F1296" s="139"/>
      <c r="G1296" s="139"/>
      <c r="H1296" s="139"/>
      <c r="I1296" s="139"/>
      <c r="J1296" s="139"/>
      <c r="N1296" s="155"/>
      <c r="S1296" s="155"/>
    </row>
    <row r="1297" spans="5:19">
      <c r="E1297" s="139"/>
      <c r="F1297" s="139"/>
      <c r="G1297" s="139"/>
      <c r="H1297" s="139"/>
      <c r="I1297" s="139"/>
      <c r="J1297" s="139"/>
      <c r="N1297" s="155"/>
      <c r="S1297" s="155"/>
    </row>
    <row r="1298" spans="5:19">
      <c r="E1298" s="139"/>
      <c r="F1298" s="139"/>
      <c r="G1298" s="139"/>
      <c r="H1298" s="139"/>
      <c r="I1298" s="139"/>
      <c r="J1298" s="139"/>
      <c r="N1298" s="155"/>
      <c r="S1298" s="155"/>
    </row>
    <row r="1299" spans="5:19">
      <c r="E1299" s="139"/>
      <c r="F1299" s="139"/>
      <c r="G1299" s="139"/>
      <c r="H1299" s="139"/>
      <c r="I1299" s="139"/>
      <c r="J1299" s="139"/>
      <c r="N1299" s="155"/>
      <c r="S1299" s="155"/>
    </row>
    <row r="1300" spans="5:19">
      <c r="E1300" s="139"/>
      <c r="F1300" s="139"/>
      <c r="G1300" s="139"/>
      <c r="H1300" s="139"/>
      <c r="I1300" s="139"/>
      <c r="J1300" s="139"/>
      <c r="N1300" s="155"/>
      <c r="S1300" s="155"/>
    </row>
    <row r="1301" spans="5:19">
      <c r="E1301" s="139"/>
      <c r="F1301" s="139"/>
      <c r="G1301" s="139"/>
      <c r="H1301" s="139"/>
      <c r="I1301" s="139"/>
      <c r="J1301" s="139"/>
      <c r="N1301" s="155"/>
      <c r="S1301" s="155"/>
    </row>
    <row r="1302" spans="5:19">
      <c r="E1302" s="139"/>
      <c r="F1302" s="139"/>
      <c r="G1302" s="139"/>
      <c r="H1302" s="139"/>
      <c r="I1302" s="139"/>
      <c r="J1302" s="139"/>
      <c r="N1302" s="155"/>
      <c r="S1302" s="155"/>
    </row>
    <row r="1303" spans="5:19">
      <c r="E1303" s="139"/>
      <c r="F1303" s="139"/>
      <c r="G1303" s="139"/>
      <c r="H1303" s="139"/>
      <c r="I1303" s="139"/>
      <c r="J1303" s="139"/>
      <c r="N1303" s="155"/>
      <c r="S1303" s="155"/>
    </row>
    <row r="1304" spans="5:19">
      <c r="E1304" s="139"/>
      <c r="F1304" s="139"/>
      <c r="G1304" s="139"/>
      <c r="H1304" s="139"/>
      <c r="I1304" s="139"/>
      <c r="J1304" s="139"/>
      <c r="N1304" s="155"/>
      <c r="S1304" s="155"/>
    </row>
    <row r="1305" spans="5:19">
      <c r="E1305" s="139"/>
      <c r="F1305" s="139"/>
      <c r="G1305" s="139"/>
      <c r="H1305" s="139"/>
      <c r="I1305" s="139"/>
      <c r="J1305" s="139"/>
      <c r="N1305" s="155"/>
      <c r="S1305" s="155"/>
    </row>
    <row r="1306" spans="5:19">
      <c r="E1306" s="139"/>
      <c r="F1306" s="139"/>
      <c r="G1306" s="139"/>
      <c r="H1306" s="139"/>
      <c r="I1306" s="139"/>
      <c r="J1306" s="139"/>
      <c r="N1306" s="155"/>
      <c r="S1306" s="155"/>
    </row>
    <row r="1307" spans="5:19">
      <c r="E1307" s="139"/>
      <c r="F1307" s="139"/>
      <c r="G1307" s="139"/>
      <c r="H1307" s="139"/>
      <c r="I1307" s="139"/>
      <c r="J1307" s="139"/>
      <c r="N1307" s="155"/>
      <c r="S1307" s="155"/>
    </row>
    <row r="1308" spans="5:19">
      <c r="E1308" s="139"/>
      <c r="F1308" s="139"/>
      <c r="G1308" s="139"/>
      <c r="H1308" s="139"/>
      <c r="I1308" s="139"/>
      <c r="J1308" s="139"/>
      <c r="N1308" s="155"/>
      <c r="S1308" s="155"/>
    </row>
    <row r="1309" spans="5:19">
      <c r="E1309" s="139"/>
      <c r="F1309" s="139"/>
      <c r="G1309" s="139"/>
      <c r="H1309" s="139"/>
      <c r="I1309" s="139"/>
      <c r="J1309" s="139"/>
      <c r="N1309" s="155"/>
      <c r="S1309" s="155"/>
    </row>
    <row r="1310" spans="5:19">
      <c r="E1310" s="139"/>
      <c r="F1310" s="139"/>
      <c r="G1310" s="139"/>
      <c r="H1310" s="139"/>
      <c r="I1310" s="139"/>
      <c r="J1310" s="139"/>
      <c r="N1310" s="155"/>
      <c r="S1310" s="155"/>
    </row>
    <row r="1311" spans="5:19">
      <c r="E1311" s="139"/>
      <c r="F1311" s="139"/>
      <c r="G1311" s="139"/>
      <c r="H1311" s="139"/>
      <c r="I1311" s="139"/>
      <c r="J1311" s="139"/>
      <c r="N1311" s="155"/>
      <c r="S1311" s="155"/>
    </row>
    <row r="1312" spans="5:19">
      <c r="E1312" s="139"/>
      <c r="F1312" s="139"/>
      <c r="G1312" s="139"/>
      <c r="H1312" s="139"/>
      <c r="I1312" s="139"/>
      <c r="J1312" s="139"/>
      <c r="N1312" s="155"/>
      <c r="S1312" s="155"/>
    </row>
    <row r="1313" spans="5:19">
      <c r="E1313" s="139"/>
      <c r="F1313" s="139"/>
      <c r="G1313" s="139"/>
      <c r="H1313" s="139"/>
      <c r="I1313" s="139"/>
      <c r="J1313" s="139"/>
      <c r="N1313" s="155"/>
      <c r="S1313" s="155"/>
    </row>
    <row r="1314" spans="5:19">
      <c r="E1314" s="139"/>
      <c r="F1314" s="139"/>
      <c r="G1314" s="139"/>
      <c r="H1314" s="139"/>
      <c r="I1314" s="139"/>
      <c r="J1314" s="139"/>
      <c r="N1314" s="155"/>
      <c r="S1314" s="155"/>
    </row>
    <row r="1315" spans="5:19">
      <c r="E1315" s="139"/>
      <c r="F1315" s="139"/>
      <c r="G1315" s="139"/>
      <c r="H1315" s="139"/>
      <c r="I1315" s="139"/>
      <c r="J1315" s="139"/>
      <c r="N1315" s="155"/>
      <c r="S1315" s="155"/>
    </row>
    <row r="1316" spans="5:19">
      <c r="E1316" s="139"/>
      <c r="F1316" s="139"/>
      <c r="G1316" s="139"/>
      <c r="H1316" s="139"/>
      <c r="I1316" s="139"/>
      <c r="J1316" s="139"/>
      <c r="N1316" s="155"/>
      <c r="S1316" s="155"/>
    </row>
    <row r="1317" spans="5:19">
      <c r="E1317" s="139"/>
      <c r="F1317" s="139"/>
      <c r="G1317" s="139"/>
      <c r="H1317" s="139"/>
      <c r="I1317" s="139"/>
      <c r="J1317" s="139"/>
      <c r="N1317" s="155"/>
      <c r="S1317" s="155"/>
    </row>
    <row r="1318" spans="5:19">
      <c r="E1318" s="139"/>
      <c r="F1318" s="139"/>
      <c r="G1318" s="139"/>
      <c r="H1318" s="139"/>
      <c r="I1318" s="139"/>
      <c r="J1318" s="139"/>
      <c r="N1318" s="155"/>
      <c r="S1318" s="155"/>
    </row>
    <row r="1319" spans="5:19">
      <c r="E1319" s="139"/>
      <c r="F1319" s="139"/>
      <c r="G1319" s="139"/>
      <c r="H1319" s="139"/>
      <c r="I1319" s="139"/>
      <c r="J1319" s="139"/>
      <c r="N1319" s="155"/>
      <c r="S1319" s="155"/>
    </row>
    <row r="1320" spans="5:19">
      <c r="E1320" s="139"/>
      <c r="F1320" s="139"/>
      <c r="G1320" s="139"/>
      <c r="H1320" s="139"/>
      <c r="I1320" s="139"/>
      <c r="J1320" s="139"/>
      <c r="N1320" s="155"/>
      <c r="S1320" s="155"/>
    </row>
    <row r="1321" spans="5:19">
      <c r="E1321" s="139"/>
      <c r="F1321" s="139"/>
      <c r="G1321" s="139"/>
      <c r="H1321" s="139"/>
      <c r="I1321" s="139"/>
      <c r="J1321" s="139"/>
      <c r="N1321" s="155"/>
      <c r="S1321" s="155"/>
    </row>
    <row r="1322" spans="5:19">
      <c r="E1322" s="139"/>
      <c r="F1322" s="139"/>
      <c r="G1322" s="139"/>
      <c r="H1322" s="139"/>
      <c r="I1322" s="139"/>
      <c r="J1322" s="139"/>
      <c r="N1322" s="155"/>
      <c r="S1322" s="155"/>
    </row>
    <row r="1323" spans="5:19">
      <c r="E1323" s="139"/>
      <c r="F1323" s="139"/>
      <c r="G1323" s="139"/>
      <c r="H1323" s="139"/>
      <c r="I1323" s="139"/>
      <c r="J1323" s="139"/>
      <c r="N1323" s="155"/>
      <c r="S1323" s="155"/>
    </row>
    <row r="1324" spans="5:19">
      <c r="E1324" s="139"/>
      <c r="F1324" s="139"/>
      <c r="G1324" s="139"/>
      <c r="H1324" s="139"/>
      <c r="I1324" s="139"/>
      <c r="J1324" s="139"/>
      <c r="N1324" s="155"/>
      <c r="S1324" s="155"/>
    </row>
    <row r="1325" spans="5:19">
      <c r="E1325" s="139"/>
      <c r="F1325" s="139"/>
      <c r="G1325" s="139"/>
      <c r="H1325" s="139"/>
      <c r="I1325" s="139"/>
      <c r="J1325" s="139"/>
      <c r="N1325" s="155"/>
      <c r="S1325" s="155"/>
    </row>
    <row r="1326" spans="5:19">
      <c r="E1326" s="139"/>
      <c r="F1326" s="139"/>
      <c r="G1326" s="139"/>
      <c r="H1326" s="139"/>
      <c r="I1326" s="139"/>
      <c r="J1326" s="139"/>
      <c r="N1326" s="155"/>
      <c r="S1326" s="155"/>
    </row>
    <row r="1327" spans="5:19">
      <c r="E1327" s="139"/>
      <c r="F1327" s="139"/>
      <c r="G1327" s="139"/>
      <c r="H1327" s="139"/>
      <c r="I1327" s="139"/>
      <c r="J1327" s="139"/>
      <c r="N1327" s="155"/>
      <c r="S1327" s="155"/>
    </row>
    <row r="1328" spans="5:19">
      <c r="E1328" s="139"/>
      <c r="F1328" s="139"/>
      <c r="G1328" s="139"/>
      <c r="H1328" s="139"/>
      <c r="I1328" s="139"/>
      <c r="J1328" s="139"/>
      <c r="N1328" s="155"/>
      <c r="S1328" s="155"/>
    </row>
    <row r="1329" spans="5:19">
      <c r="E1329" s="139"/>
      <c r="F1329" s="139"/>
      <c r="G1329" s="139"/>
      <c r="H1329" s="139"/>
      <c r="I1329" s="139"/>
      <c r="J1329" s="139"/>
      <c r="N1329" s="155"/>
      <c r="S1329" s="155"/>
    </row>
    <row r="1330" spans="5:19">
      <c r="E1330" s="139"/>
      <c r="F1330" s="139"/>
      <c r="G1330" s="139"/>
      <c r="H1330" s="139"/>
      <c r="I1330" s="139"/>
      <c r="J1330" s="139"/>
      <c r="N1330" s="155"/>
      <c r="S1330" s="155"/>
    </row>
    <row r="1331" spans="5:19">
      <c r="E1331" s="139"/>
      <c r="F1331" s="139"/>
      <c r="G1331" s="139"/>
      <c r="H1331" s="139"/>
      <c r="I1331" s="139"/>
      <c r="J1331" s="139"/>
      <c r="N1331" s="155"/>
      <c r="S1331" s="155"/>
    </row>
    <row r="1332" spans="5:19">
      <c r="E1332" s="139"/>
      <c r="F1332" s="139"/>
      <c r="G1332" s="139"/>
      <c r="H1332" s="139"/>
      <c r="I1332" s="139"/>
      <c r="J1332" s="139"/>
      <c r="N1332" s="155"/>
      <c r="S1332" s="155"/>
    </row>
    <row r="1333" spans="5:19">
      <c r="E1333" s="139"/>
      <c r="F1333" s="139"/>
      <c r="G1333" s="139"/>
      <c r="H1333" s="139"/>
      <c r="I1333" s="139"/>
      <c r="J1333" s="139"/>
      <c r="N1333" s="155"/>
      <c r="S1333" s="155"/>
    </row>
    <row r="1334" spans="5:19">
      <c r="E1334" s="139"/>
      <c r="F1334" s="139"/>
      <c r="G1334" s="139"/>
      <c r="H1334" s="139"/>
      <c r="I1334" s="139"/>
      <c r="J1334" s="139"/>
      <c r="N1334" s="155"/>
      <c r="S1334" s="155"/>
    </row>
    <row r="1335" spans="5:19">
      <c r="E1335" s="139"/>
      <c r="F1335" s="139"/>
      <c r="G1335" s="139"/>
      <c r="H1335" s="139"/>
      <c r="I1335" s="139"/>
      <c r="J1335" s="139"/>
      <c r="N1335" s="155"/>
      <c r="S1335" s="155"/>
    </row>
    <row r="1336" spans="5:19">
      <c r="E1336" s="139"/>
      <c r="F1336" s="139"/>
      <c r="G1336" s="139"/>
      <c r="H1336" s="139"/>
      <c r="I1336" s="139"/>
      <c r="J1336" s="139"/>
      <c r="N1336" s="155"/>
      <c r="S1336" s="155"/>
    </row>
    <row r="1337" spans="5:19">
      <c r="E1337" s="139"/>
      <c r="F1337" s="139"/>
      <c r="G1337" s="139"/>
      <c r="H1337" s="139"/>
      <c r="I1337" s="139"/>
      <c r="J1337" s="139"/>
      <c r="N1337" s="155"/>
      <c r="S1337" s="155"/>
    </row>
  </sheetData>
  <mergeCells count="2">
    <mergeCell ref="A10:X10"/>
    <mergeCell ref="A11:X11"/>
  </mergeCells>
  <pageMargins left="0.70866141732283472" right="0.70866141732283472" top="0.66" bottom="0.74803149606299213" header="0.31496062992125984" footer="0.31496062992125984"/>
  <pageSetup paperSize="9" scale="84"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80</vt:i4>
      </vt:variant>
    </vt:vector>
  </HeadingPairs>
  <TitlesOfParts>
    <vt:vector size="113" baseType="lpstr">
      <vt:lpstr>List - Nha</vt:lpstr>
      <vt:lpstr>1.DAO MONG</vt:lpstr>
      <vt:lpstr>PYC</vt:lpstr>
      <vt:lpstr>2.VLtruoc (2)</vt:lpstr>
      <vt:lpstr>Danh muc BB</vt:lpstr>
      <vt:lpstr>TIEU CHUAN</vt:lpstr>
      <vt:lpstr>TC</vt:lpstr>
      <vt:lpstr>TC1</vt:lpstr>
      <vt:lpstr>TC2</vt:lpstr>
      <vt:lpstr>TC3</vt:lpstr>
      <vt:lpstr>tc4</vt:lpstr>
      <vt:lpstr>PhieuBT</vt:lpstr>
      <vt:lpstr>PhieuVUA</vt:lpstr>
      <vt:lpstr>DATA</vt:lpstr>
      <vt:lpstr>2.VL</vt:lpstr>
      <vt:lpstr>3.CT</vt:lpstr>
      <vt:lpstr>4.VK</vt:lpstr>
      <vt:lpstr>5.CBBT</vt:lpstr>
      <vt:lpstr>6.GSBT</vt:lpstr>
      <vt:lpstr>7.LMBT</vt:lpstr>
      <vt:lpstr>7.1.TVK</vt:lpstr>
      <vt:lpstr>8.NTBT</vt:lpstr>
      <vt:lpstr>8.CGĐ</vt:lpstr>
      <vt:lpstr>9.VL XAY</vt:lpstr>
      <vt:lpstr>9.1.LMVX</vt:lpstr>
      <vt:lpstr>9.2.XAY</vt:lpstr>
      <vt:lpstr>9.3. NTCV.KHAC</vt:lpstr>
      <vt:lpstr>BBNT</vt:lpstr>
      <vt:lpstr>BBNT-XAY</vt:lpstr>
      <vt:lpstr>NTCV</vt:lpstr>
      <vt:lpstr>NTHT</vt:lpstr>
      <vt:lpstr>CPBT</vt:lpstr>
      <vt:lpstr>DANH MUC BBNT</vt:lpstr>
      <vt:lpstr>BANGBT</vt:lpstr>
      <vt:lpstr>BANGXAY</vt:lpstr>
      <vt:lpstr>CBBT</vt:lpstr>
      <vt:lpstr>CDT</vt:lpstr>
      <vt:lpstr>CGĐ</vt:lpstr>
      <vt:lpstr>CPBT</vt:lpstr>
      <vt:lpstr>CVCDT</vt:lpstr>
      <vt:lpstr>CVDVTC</vt:lpstr>
      <vt:lpstr>CVGS</vt:lpstr>
      <vt:lpstr>CVTNV</vt:lpstr>
      <vt:lpstr>DIEMTDC</vt:lpstr>
      <vt:lpstr>DONVI</vt:lpstr>
      <vt:lpstr>DVTC</vt:lpstr>
      <vt:lpstr>GSBT</vt:lpstr>
      <vt:lpstr>LIST_NHA</vt:lpstr>
      <vt:lpstr>'7.1.TVK'!LMBT</vt:lpstr>
      <vt:lpstr>LMBT</vt:lpstr>
      <vt:lpstr>LMVXM2PPC</vt:lpstr>
      <vt:lpstr>LMXAY</vt:lpstr>
      <vt:lpstr>LOAIVLXAY</vt:lpstr>
      <vt:lpstr>MHCBBT</vt:lpstr>
      <vt:lpstr>MHCT</vt:lpstr>
      <vt:lpstr>MHGSBT</vt:lpstr>
      <vt:lpstr>MHLMBT</vt:lpstr>
      <vt:lpstr>MHNTBT</vt:lpstr>
      <vt:lpstr>MHTVK</vt:lpstr>
      <vt:lpstr>MHVK</vt:lpstr>
      <vt:lpstr>MHVL</vt:lpstr>
      <vt:lpstr>'8.CGĐ'!NTBT</vt:lpstr>
      <vt:lpstr>NTBT</vt:lpstr>
      <vt:lpstr>NTCT</vt:lpstr>
      <vt:lpstr>NTCVKHAC</vt:lpstr>
      <vt:lpstr>NTVK</vt:lpstr>
      <vt:lpstr>NTXAY</vt:lpstr>
      <vt:lpstr>'1.DAO MONG'!NVH100M2</vt:lpstr>
      <vt:lpstr>'2.VL'!NVH100M2</vt:lpstr>
      <vt:lpstr>'3.CT'!NVH100M2</vt:lpstr>
      <vt:lpstr>'4.VK'!NVH100M2</vt:lpstr>
      <vt:lpstr>'5.CBBT'!NVH100M2</vt:lpstr>
      <vt:lpstr>'6.GSBT'!NVH100M2</vt:lpstr>
      <vt:lpstr>'7.1.TVK'!NVH100M2</vt:lpstr>
      <vt:lpstr>'7.LMBT'!NVH100M2</vt:lpstr>
      <vt:lpstr>'8.CGĐ'!NVH100M2</vt:lpstr>
      <vt:lpstr>'8.NTBT'!NVH100M2</vt:lpstr>
      <vt:lpstr>'9.1.LMVX'!NVH100M2</vt:lpstr>
      <vt:lpstr>'9.2.XAY'!NVH100M2</vt:lpstr>
      <vt:lpstr>'9.3. NTCV.KHAC'!NVH100M2</vt:lpstr>
      <vt:lpstr>'9.VL XAY'!NVH100M2</vt:lpstr>
      <vt:lpstr>NVH100M2</vt:lpstr>
      <vt:lpstr>'1.DAO MONG'!NVH100PC</vt:lpstr>
      <vt:lpstr>'2.VL'!NVH100PC</vt:lpstr>
      <vt:lpstr>'3.CT'!NVH100PC</vt:lpstr>
      <vt:lpstr>'4.VK'!NVH100PC</vt:lpstr>
      <vt:lpstr>'5.CBBT'!NVH100PC</vt:lpstr>
      <vt:lpstr>'6.GSBT'!NVH100PC</vt:lpstr>
      <vt:lpstr>'7.1.TVK'!NVH100PC</vt:lpstr>
      <vt:lpstr>'7.LMBT'!NVH100PC</vt:lpstr>
      <vt:lpstr>'8.CGĐ'!NVH100PC</vt:lpstr>
      <vt:lpstr>'8.NTBT'!NVH100PC</vt:lpstr>
      <vt:lpstr>'9.1.LMVX'!NVH100PC</vt:lpstr>
      <vt:lpstr>'9.2.XAY'!NVH100PC</vt:lpstr>
      <vt:lpstr>'9.3. NTCV.KHAC'!NVH100PC</vt:lpstr>
      <vt:lpstr>'9.VL XAY'!NVH100PC</vt:lpstr>
      <vt:lpstr>NVH100PC</vt:lpstr>
      <vt:lpstr>BBNT!Print_Area</vt:lpstr>
      <vt:lpstr>'BBNT-XAY'!Print_Area</vt:lpstr>
      <vt:lpstr>'DANH MUC BBNT'!Print_Area</vt:lpstr>
      <vt:lpstr>NTCV!Print_Area</vt:lpstr>
      <vt:lpstr>NTHT!Print_Area</vt:lpstr>
      <vt:lpstr>'DANH MUC BBNT'!Print_Titles</vt:lpstr>
      <vt:lpstr>TPCDT</vt:lpstr>
      <vt:lpstr>TPDVTC</vt:lpstr>
      <vt:lpstr>TPDVTN</vt:lpstr>
      <vt:lpstr>TPTVGS</vt:lpstr>
      <vt:lpstr>tuan_bv</vt:lpstr>
      <vt:lpstr>TUANBV</vt:lpstr>
      <vt:lpstr>TVK</vt:lpstr>
      <vt:lpstr>VITRI</vt:lpstr>
      <vt:lpstr>VLDV</vt:lpstr>
      <vt:lpstr>VLXAY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TuanBV</cp:lastModifiedBy>
  <cp:lastPrinted>2014-09-09T16:34:06Z</cp:lastPrinted>
  <dcterms:created xsi:type="dcterms:W3CDTF">2013-06-28T17:58:59Z</dcterms:created>
  <dcterms:modified xsi:type="dcterms:W3CDTF">2014-09-18T14:27:29Z</dcterms:modified>
</cp:coreProperties>
</file>